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2"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[4]客服登錄資料!#REF!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[4]客服登錄資料!#REF!</definedName>
    <definedName name="修改" localSheetId="11">#N/A</definedName>
    <definedName name="獅" localSheetId="11">#REF!</definedName>
    <definedName name="績效" localSheetId="11">#N/A</definedName>
    <definedName name="_xlnm._FilterDatabase" localSheetId="11" hidden="1">'0919門市清單主檔'!$A$1:$AH$217</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[3]客服登錄資料!#REF!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[4]客服登錄資料!#REF!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05">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8" fillId="0" borderId="2"/>
    <xf numFmtId="0" fontId="50" fillId="0" borderId="2" applyAlignment="1" applyProtection="1">
      <alignment vertical="top"/>
      <protection locked="0" hidden="0"/>
    </xf>
    <xf numFmtId="0" fontId="51" fillId="0" borderId="2"/>
    <xf numFmtId="0" fontId="51" fillId="0" borderId="2"/>
    <xf numFmtId="9" fontId="41" fillId="0" borderId="2" applyAlignment="1">
      <alignment vertical="center"/>
    </xf>
    <xf numFmtId="0" fontId="33" fillId="0" borderId="2" applyAlignment="1">
      <alignment vertical="center"/>
    </xf>
    <xf numFmtId="0" fontId="48" fillId="0" borderId="2" applyAlignment="1">
      <alignment vertical="center"/>
    </xf>
    <xf numFmtId="0" fontId="48" fillId="0" borderId="2"/>
    <xf numFmtId="0" fontId="53" fillId="0" borderId="2"/>
    <xf numFmtId="9" fontId="51" fillId="0" borderId="2" applyAlignment="1">
      <alignment vertical="center"/>
    </xf>
    <xf numFmtId="0" fontId="48" fillId="0" borderId="2"/>
    <xf numFmtId="9" fontId="48" fillId="0" borderId="2" applyAlignment="1">
      <alignment vertical="center"/>
    </xf>
    <xf numFmtId="0" fontId="51" fillId="0" borderId="2"/>
    <xf numFmtId="9" fontId="54" fillId="0" borderId="2" applyAlignment="1">
      <alignment vertical="center"/>
    </xf>
    <xf numFmtId="0" fontId="62" fillId="0" borderId="2" applyAlignment="1">
      <alignment vertical="center"/>
    </xf>
    <xf numFmtId="0" fontId="68" fillId="0" borderId="2"/>
    <xf numFmtId="0" fontId="48" fillId="0" borderId="2" applyAlignment="1">
      <alignment vertical="center"/>
    </xf>
    <xf numFmtId="0" fontId="33" fillId="0" borderId="2" applyAlignment="1">
      <alignment vertical="center"/>
    </xf>
    <xf numFmtId="0" fontId="62" fillId="0" borderId="2" applyAlignment="1">
      <alignment vertical="center"/>
    </xf>
    <xf numFmtId="0" fontId="62" fillId="0" borderId="2" applyAlignment="1">
      <alignment vertical="center"/>
    </xf>
    <xf numFmtId="0" fontId="33" fillId="0" borderId="2" applyAlignment="1">
      <alignment vertical="center"/>
    </xf>
    <xf numFmtId="0" fontId="33" fillId="0" borderId="2" applyAlignment="1">
      <alignment vertical="center"/>
    </xf>
    <xf numFmtId="0" fontId="77" fillId="0" borderId="2" applyAlignment="1">
      <alignment vertical="center"/>
    </xf>
    <xf numFmtId="0" fontId="67" fillId="0" borderId="2"/>
    <xf numFmtId="0" fontId="33" fillId="0" borderId="2" applyAlignment="1">
      <alignment vertical="center"/>
    </xf>
  </cellStyleXfs>
  <cellXfs count="452">
    <xf numFmtId="0" fontId="0" fillId="0" borderId="0" applyAlignment="1" pivotButton="0" quotePrefix="0" xfId="0">
      <alignment vertical="center"/>
    </xf>
    <xf numFmtId="0" fontId="36" fillId="0" borderId="0" applyAlignment="1" pivotButton="0" quotePrefix="0" xfId="0">
      <alignment vertical="center"/>
    </xf>
    <xf numFmtId="0" fontId="35" fillId="0" borderId="0" applyAlignment="1" pivotButton="0" quotePrefix="0" xfId="0">
      <alignment vertical="center"/>
    </xf>
    <xf numFmtId="0" fontId="49" fillId="0" borderId="2" applyAlignment="1" pivotButton="0" quotePrefix="0" xfId="1">
      <alignment horizontal="center" vertical="center"/>
    </xf>
    <xf numFmtId="0" fontId="49" fillId="0" borderId="2" applyAlignment="1" pivotButton="0" quotePrefix="0" xfId="2">
      <alignment horizontal="center" vertical="center"/>
    </xf>
    <xf numFmtId="0" fontId="49" fillId="0" borderId="2" applyAlignment="1" pivotButton="0" quotePrefix="0" xfId="1">
      <alignment horizontal="left" vertical="center"/>
    </xf>
    <xf numFmtId="0" fontId="49" fillId="0" borderId="2" applyAlignment="1" pivotButton="0" quotePrefix="0" xfId="1">
      <alignment vertical="center"/>
    </xf>
    <xf numFmtId="0" fontId="49" fillId="0" borderId="2" applyAlignment="1" pivotButton="0" quotePrefix="0" xfId="7">
      <alignment horizontal="center" vertical="center"/>
    </xf>
    <xf numFmtId="0" fontId="56"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8" fillId="4" borderId="10" applyAlignment="1" pivotButton="0" quotePrefix="0" xfId="9">
      <alignment vertical="center"/>
    </xf>
    <xf numFmtId="0" fontId="58" fillId="4" borderId="13" applyAlignment="1" pivotButton="0" quotePrefix="0" xfId="9">
      <alignment horizontal="left" vertical="center"/>
    </xf>
    <xf numFmtId="0" fontId="58" fillId="4" borderId="13" applyAlignment="1" pivotButton="0" quotePrefix="0" xfId="9">
      <alignment vertical="center"/>
    </xf>
    <xf numFmtId="0" fontId="58" fillId="4" borderId="15" applyAlignment="1" pivotButton="0" quotePrefix="0" xfId="9">
      <alignment vertical="center"/>
    </xf>
    <xf numFmtId="0" fontId="45" fillId="0" borderId="2" pivotButton="0" quotePrefix="0" xfId="9"/>
    <xf numFmtId="0" fontId="45" fillId="4" borderId="16" applyAlignment="1" pivotButton="0" quotePrefix="0" xfId="9">
      <alignment horizontal="center" vertical="center"/>
    </xf>
    <xf numFmtId="0" fontId="45" fillId="4" borderId="8" applyAlignment="1" pivotButton="0" quotePrefix="0" xfId="9">
      <alignment horizontal="left" vertical="center"/>
    </xf>
    <xf numFmtId="0" fontId="45" fillId="4" borderId="8" applyAlignment="1" pivotButton="0" quotePrefix="0" xfId="9">
      <alignment horizontal="center" vertical="center"/>
    </xf>
    <xf numFmtId="14" fontId="45" fillId="4" borderId="17" applyAlignment="1" pivotButton="0" quotePrefix="0" xfId="9">
      <alignment horizontal="center" vertical="center"/>
    </xf>
    <xf numFmtId="0" fontId="45" fillId="0" borderId="2" applyAlignment="1" pivotButton="0" quotePrefix="0" xfId="9">
      <alignment horizontal="center" vertical="center"/>
    </xf>
    <xf numFmtId="0" fontId="45" fillId="0" borderId="2" applyAlignment="1" pivotButton="0" quotePrefix="0" xfId="9">
      <alignment horizontal="left" vertical="center"/>
    </xf>
    <xf numFmtId="14" fontId="45" fillId="0" borderId="2" applyAlignment="1" pivotButton="0" quotePrefix="0" xfId="9">
      <alignment horizontal="center" vertical="center"/>
    </xf>
    <xf numFmtId="0" fontId="45" fillId="4" borderId="10" applyAlignment="1" pivotButton="0" quotePrefix="0" xfId="9">
      <alignment horizontal="center" vertical="center"/>
    </xf>
    <xf numFmtId="0" fontId="45" fillId="4" borderId="13" applyAlignment="1" pivotButton="0" quotePrefix="0" xfId="9">
      <alignment horizontal="left" vertical="center"/>
    </xf>
    <xf numFmtId="0" fontId="45" fillId="4" borderId="13" applyAlignment="1" pivotButton="0" quotePrefix="0" xfId="9">
      <alignment horizontal="center" vertical="center"/>
    </xf>
    <xf numFmtId="14" fontId="45" fillId="4" borderId="15" applyAlignment="1" pivotButton="0" quotePrefix="0" xfId="9">
      <alignment horizontal="center" vertical="center"/>
    </xf>
    <xf numFmtId="14" fontId="32" fillId="0" borderId="2" applyAlignment="1" pivotButton="0" quotePrefix="0" xfId="9">
      <alignment vertical="center"/>
    </xf>
    <xf numFmtId="0" fontId="53" fillId="0" borderId="2" pivotButton="0" quotePrefix="0" xfId="9"/>
    <xf numFmtId="0" fontId="63" fillId="0" borderId="2" applyAlignment="1" pivotButton="0" quotePrefix="0" xfId="9">
      <alignment horizontal="center" vertical="center"/>
    </xf>
    <xf numFmtId="0" fontId="64" fillId="14" borderId="6" applyAlignment="1" pivotButton="0" quotePrefix="0" xfId="9">
      <alignment horizontal="center" vertical="center"/>
    </xf>
    <xf numFmtId="0" fontId="65" fillId="7" borderId="6" applyAlignment="1" pivotButton="0" quotePrefix="0" xfId="15">
      <alignment horizontal="center" vertical="center"/>
    </xf>
    <xf numFmtId="0" fontId="64" fillId="0" borderId="11" applyAlignment="1" pivotButton="0" quotePrefix="0" xfId="9">
      <alignment horizontal="center" vertical="center"/>
    </xf>
    <xf numFmtId="0" fontId="67" fillId="0" borderId="2" applyAlignment="1" pivotButton="0" quotePrefix="0" xfId="9">
      <alignment horizontal="center" vertical="center"/>
    </xf>
    <xf numFmtId="0" fontId="69" fillId="0" borderId="6" applyAlignment="1" pivotButton="0" quotePrefix="0" xfId="16">
      <alignment horizontal="center" vertical="center"/>
    </xf>
    <xf numFmtId="0" fontId="53" fillId="0" borderId="6" applyAlignment="1" pivotButton="0" quotePrefix="0" xfId="9">
      <alignment horizontal="center"/>
    </xf>
    <xf numFmtId="0" fontId="53" fillId="0" borderId="6" applyAlignment="1" pivotButton="0" quotePrefix="0" xfId="9">
      <alignment horizontal="center" vertical="center"/>
    </xf>
    <xf numFmtId="0" fontId="66" fillId="0" borderId="6" applyAlignment="1" pivotButton="0" quotePrefix="0" xfId="17">
      <alignment horizontal="center" vertical="center"/>
    </xf>
    <xf numFmtId="0" fontId="66" fillId="0" borderId="6" applyAlignment="1" pivotButton="0" quotePrefix="0" xfId="17">
      <alignment vertical="center"/>
    </xf>
    <xf numFmtId="22" fontId="70" fillId="0" borderId="6" applyAlignment="1" pivotButton="0" quotePrefix="0" xfId="9">
      <alignment horizontal="left" vertical="center"/>
    </xf>
    <xf numFmtId="0" fontId="71" fillId="0" borderId="6" pivotButton="0" quotePrefix="0" xfId="9"/>
    <xf numFmtId="0" fontId="71" fillId="0" borderId="6" applyAlignment="1" pivotButton="0" quotePrefix="0" xfId="9">
      <alignment horizontal="center"/>
    </xf>
    <xf numFmtId="22" fontId="72" fillId="0" borderId="6" applyAlignment="1" pivotButton="0" quotePrefix="0" xfId="9">
      <alignment horizontal="left" vertical="center"/>
    </xf>
    <xf numFmtId="0" fontId="67" fillId="0" borderId="6" applyAlignment="1" pivotButton="0" quotePrefix="0" xfId="9">
      <alignment horizontal="left" vertical="center"/>
    </xf>
    <xf numFmtId="0" fontId="67" fillId="0" borderId="6" applyAlignment="1" pivotButton="0" quotePrefix="0" xfId="9">
      <alignment horizontal="center" vertical="center"/>
    </xf>
    <xf numFmtId="0" fontId="66" fillId="15" borderId="6" applyAlignment="1" pivotButton="0" quotePrefix="0" xfId="17">
      <alignment vertical="center"/>
    </xf>
    <xf numFmtId="0" fontId="73" fillId="0" borderId="6" applyAlignment="1" pivotButton="0" quotePrefix="0" xfId="16">
      <alignment horizontal="center" vertical="center"/>
    </xf>
    <xf numFmtId="0" fontId="74" fillId="0" borderId="6" applyAlignment="1" pivotButton="0" quotePrefix="0" xfId="16">
      <alignment horizontal="center" vertical="center"/>
    </xf>
    <xf numFmtId="0" fontId="53" fillId="0" borderId="2" applyAlignment="1" pivotButton="0" quotePrefix="0" xfId="9">
      <alignment horizontal="center"/>
    </xf>
    <xf numFmtId="0" fontId="75" fillId="14" borderId="2" applyAlignment="1" pivotButton="0" quotePrefix="0" xfId="9">
      <alignment horizontal="center"/>
    </xf>
    <xf numFmtId="0" fontId="53" fillId="0" borderId="2" applyAlignment="1" pivotButton="0" quotePrefix="0" xfId="9">
      <alignment horizontal="center" vertical="center"/>
    </xf>
    <xf numFmtId="0" fontId="66" fillId="4" borderId="6" applyAlignment="1" pivotButton="0" quotePrefix="0" xfId="17">
      <alignment vertical="center"/>
    </xf>
    <xf numFmtId="0" fontId="64" fillId="0" borderId="2" applyAlignment="1" pivotButton="0" quotePrefix="0" xfId="9">
      <alignment horizontal="center" vertical="center"/>
    </xf>
    <xf numFmtId="0" fontId="53" fillId="0" borderId="6" pivotButton="0" quotePrefix="0" xfId="9"/>
    <xf numFmtId="0" fontId="66" fillId="0" borderId="2" applyAlignment="1" pivotButton="0" quotePrefix="0" xfId="17">
      <alignment horizontal="center" vertical="center"/>
    </xf>
    <xf numFmtId="0" fontId="66" fillId="0" borderId="2" applyAlignment="1" pivotButton="0" quotePrefix="0" xfId="17">
      <alignment vertical="center"/>
    </xf>
    <xf numFmtId="14" fontId="66" fillId="0" borderId="2" applyAlignment="1" pivotButton="0" quotePrefix="0" xfId="17">
      <alignment vertical="center"/>
    </xf>
    <xf numFmtId="0" fontId="67" fillId="0" borderId="12" applyAlignment="1" pivotButton="0" quotePrefix="0" xfId="9">
      <alignment horizontal="left" vertical="center"/>
    </xf>
    <xf numFmtId="0" fontId="66" fillId="0" borderId="12" applyAlignment="1" pivotButton="0" quotePrefix="0" xfId="17">
      <alignment horizontal="center" vertical="center"/>
    </xf>
    <xf numFmtId="0" fontId="66" fillId="0" borderId="12" applyAlignment="1" pivotButton="0" quotePrefix="0" xfId="17">
      <alignment vertical="center"/>
    </xf>
    <xf numFmtId="0" fontId="66" fillId="0" borderId="18" applyAlignment="1" pivotButton="0" quotePrefix="0" xfId="17">
      <alignment horizontal="center" vertical="center"/>
    </xf>
    <xf numFmtId="0" fontId="66" fillId="0" borderId="18" applyAlignment="1" pivotButton="0" quotePrefix="0" xfId="17">
      <alignment vertical="center"/>
    </xf>
    <xf numFmtId="0" fontId="42" fillId="0" borderId="2" pivotButton="0" quotePrefix="0" xfId="9"/>
    <xf numFmtId="0" fontId="43" fillId="0" borderId="2" pivotButton="0" quotePrefix="0" xfId="9"/>
    <xf numFmtId="0" fontId="44" fillId="0" borderId="2" pivotButton="0" quotePrefix="0" xfId="9"/>
    <xf numFmtId="22" fontId="70" fillId="0" borderId="2" applyAlignment="1" pivotButton="0" quotePrefix="0" xfId="9">
      <alignment horizontal="left" vertical="center"/>
    </xf>
    <xf numFmtId="14" fontId="66" fillId="0" borderId="6" applyAlignment="1" pivotButton="0" quotePrefix="0" xfId="17">
      <alignment vertical="center"/>
    </xf>
    <xf numFmtId="0" fontId="31" fillId="0" borderId="6" applyAlignment="1" pivotButton="0" quotePrefix="0" xfId="17">
      <alignment horizontal="center" vertical="center"/>
    </xf>
    <xf numFmtId="0" fontId="31" fillId="0" borderId="6" applyAlignment="1" pivotButton="0" quotePrefix="0" xfId="17">
      <alignment vertical="center"/>
    </xf>
    <xf numFmtId="14" fontId="30" fillId="0" borderId="2" applyAlignment="1" pivotButton="0" quotePrefix="0" xfId="9">
      <alignment vertical="center"/>
    </xf>
    <xf numFmtId="0" fontId="59" fillId="0" borderId="0" applyAlignment="1" pivotButton="0" quotePrefix="0" xfId="0">
      <alignment horizontal="center" vertical="center"/>
    </xf>
    <xf numFmtId="14" fontId="76" fillId="0" borderId="0" applyAlignment="1" pivotButton="0" quotePrefix="0" xfId="0">
      <alignment vertical="center"/>
    </xf>
    <xf numFmtId="0" fontId="79" fillId="0" borderId="0" applyAlignment="1" pivotButton="0" quotePrefix="0" xfId="0">
      <alignment vertical="center"/>
    </xf>
    <xf numFmtId="0" fontId="80" fillId="0" borderId="0" applyAlignment="1" pivotButton="0" quotePrefix="0" xfId="0">
      <alignment horizontal="center" vertical="center"/>
    </xf>
    <xf numFmtId="0" fontId="35" fillId="0" borderId="0" applyAlignment="1" pivotButton="0" quotePrefix="0" xfId="0">
      <alignment horizontal="center" vertical="center"/>
    </xf>
    <xf numFmtId="0" fontId="0" fillId="0" borderId="0" applyAlignment="1" pivotButton="0" quotePrefix="0" xfId="0">
      <alignment horizontal="center" vertical="center"/>
    </xf>
    <xf numFmtId="9" fontId="49" fillId="0" borderId="2" applyAlignment="1" pivotButton="0" quotePrefix="0" xfId="5">
      <alignment horizontal="center" vertical="center"/>
    </xf>
    <xf numFmtId="0" fontId="0" fillId="0" borderId="0" applyAlignment="1" pivotButton="0" quotePrefix="0" xfId="0">
      <alignment horizontal="left" vertical="center"/>
    </xf>
    <xf numFmtId="0" fontId="76" fillId="0" borderId="0" applyAlignment="1" pivotButton="0" quotePrefix="0" xfId="0">
      <alignment horizontal="center" vertical="center"/>
    </xf>
    <xf numFmtId="0" fontId="54" fillId="9" borderId="1" applyAlignment="1" pivotButton="0" quotePrefix="0" xfId="0">
      <alignment horizontal="left" vertical="center" wrapText="1"/>
    </xf>
    <xf numFmtId="0" fontId="0" fillId="9" borderId="2" applyAlignment="1" pivotButton="0" quotePrefix="0" xfId="0">
      <alignment horizontal="center" vertical="center"/>
    </xf>
    <xf numFmtId="14" fontId="27" fillId="0" borderId="0" applyAlignment="1" pivotButton="0" quotePrefix="0" xfId="0">
      <alignment horizontal="center" vertical="center"/>
    </xf>
    <xf numFmtId="0" fontId="62" fillId="9" borderId="1" applyAlignment="1" pivotButton="0" quotePrefix="0" xfId="0">
      <alignment horizontal="left" vertical="center" wrapText="1"/>
    </xf>
    <xf numFmtId="0" fontId="0" fillId="0" borderId="30" applyAlignment="1" pivotButton="0" quotePrefix="0" xfId="0">
      <alignment horizontal="center" vertical="center"/>
    </xf>
    <xf numFmtId="0" fontId="56" fillId="8" borderId="31" applyAlignment="1" pivotButton="0" quotePrefix="0" xfId="0">
      <alignment horizontal="center" vertical="center" wrapText="1"/>
    </xf>
    <xf numFmtId="0" fontId="56"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4"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4" fillId="17" borderId="6" applyAlignment="1" pivotButton="0" quotePrefix="0" xfId="0">
      <alignment horizontal="left" vertical="center" wrapText="1"/>
    </xf>
    <xf numFmtId="0" fontId="54" fillId="4" borderId="6" applyAlignment="1" pivotButton="0" quotePrefix="0" xfId="0">
      <alignment horizontal="left" vertical="center"/>
    </xf>
    <xf numFmtId="0" fontId="62" fillId="17" borderId="6" applyAlignment="1" pivotButton="0" quotePrefix="0" xfId="0">
      <alignment horizontal="left" vertical="center" wrapText="1"/>
    </xf>
    <xf numFmtId="0" fontId="62" fillId="4" borderId="6" applyAlignment="1" pivotButton="0" quotePrefix="0" xfId="0">
      <alignment horizontal="left" vertical="center" wrapText="1"/>
    </xf>
    <xf numFmtId="0" fontId="54" fillId="17" borderId="6" applyAlignment="1" pivotButton="0" quotePrefix="0" xfId="0">
      <alignment horizontal="left" vertical="center"/>
    </xf>
    <xf numFmtId="0" fontId="81"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4"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9" fillId="0" borderId="0" applyAlignment="1" applyProtection="1" pivotButton="0" quotePrefix="0" xfId="0">
      <alignment horizontal="center" vertical="center"/>
      <protection locked="1" hidden="1"/>
    </xf>
    <xf numFmtId="0" fontId="33" fillId="0" borderId="0" applyAlignment="1" applyProtection="1" pivotButton="0" quotePrefix="0" xfId="0">
      <alignment vertical="center"/>
      <protection locked="1" hidden="1"/>
    </xf>
    <xf numFmtId="14" fontId="76" fillId="0" borderId="0" applyAlignment="1" applyProtection="1" pivotButton="0" quotePrefix="0" xfId="0">
      <alignment vertical="center"/>
      <protection locked="1" hidden="1"/>
    </xf>
    <xf numFmtId="0" fontId="33" fillId="0" borderId="0"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55" fillId="12" borderId="6" applyAlignment="1" applyProtection="1" pivotButton="0" quotePrefix="0" xfId="0">
      <alignment horizontal="center" vertical="center"/>
      <protection locked="1" hidden="1"/>
    </xf>
    <xf numFmtId="0" fontId="55" fillId="11" borderId="6" applyAlignment="1" applyProtection="1" pivotButton="0" quotePrefix="0" xfId="0">
      <alignment horizontal="center" vertical="center"/>
      <protection locked="1" hidden="1"/>
    </xf>
    <xf numFmtId="0" fontId="33" fillId="3" borderId="25" applyAlignment="1" applyProtection="1" pivotButton="0" quotePrefix="0" xfId="0">
      <alignment horizontal="center" vertical="center"/>
      <protection locked="1" hidden="1"/>
    </xf>
    <xf numFmtId="0" fontId="33" fillId="3" borderId="21" applyAlignment="1" applyProtection="1" pivotButton="0" quotePrefix="0" xfId="0">
      <alignment horizontal="center" vertical="center"/>
      <protection locked="1" hidden="1"/>
    </xf>
    <xf numFmtId="0" fontId="33" fillId="0" borderId="21" applyAlignment="1" applyProtection="1" pivotButton="0" quotePrefix="0" xfId="0">
      <alignment vertical="center"/>
      <protection locked="1" hidden="1"/>
    </xf>
    <xf numFmtId="0" fontId="33" fillId="3" borderId="19" applyAlignment="1" applyProtection="1" pivotButton="0" quotePrefix="0" xfId="0">
      <alignment horizontal="center" vertical="center"/>
      <protection locked="1" hidden="1"/>
    </xf>
    <xf numFmtId="0" fontId="45" fillId="7" borderId="18" applyAlignment="1" applyProtection="1" pivotButton="0" quotePrefix="0" xfId="0">
      <alignment horizontal="right" vertical="center"/>
      <protection locked="1" hidden="1"/>
    </xf>
    <xf numFmtId="0" fontId="29" fillId="0" borderId="0" applyAlignment="1" applyProtection="1" pivotButton="0" quotePrefix="0" xfId="0">
      <alignment vertical="center"/>
      <protection locked="1" hidden="1"/>
    </xf>
    <xf numFmtId="0" fontId="28" fillId="0" borderId="2" applyAlignment="1" applyProtection="1" pivotButton="0" quotePrefix="0" xfId="0">
      <alignment vertical="center"/>
      <protection locked="1" hidden="1"/>
    </xf>
    <xf numFmtId="0" fontId="33" fillId="4" borderId="9" applyAlignment="1" applyProtection="1" pivotButton="0" quotePrefix="0" xfId="0">
      <alignment horizontal="center" vertical="center"/>
      <protection locked="1" hidden="1"/>
    </xf>
    <xf numFmtId="0" fontId="45" fillId="22" borderId="9" applyAlignment="1" applyProtection="1" pivotButton="0" quotePrefix="0" xfId="0">
      <alignment horizontal="center" vertical="center"/>
      <protection locked="1" hidden="1"/>
    </xf>
    <xf numFmtId="0" fontId="45" fillId="22" borderId="20" applyAlignment="1" applyProtection="1" pivotButton="0" quotePrefix="0" xfId="0">
      <alignment horizontal="center" vertical="center"/>
      <protection locked="1" hidden="1"/>
    </xf>
    <xf numFmtId="0" fontId="33" fillId="4" borderId="16" applyAlignment="1" applyProtection="1" pivotButton="0" quotePrefix="0" xfId="0">
      <alignment horizontal="center" vertical="center"/>
      <protection locked="1" hidden="1"/>
    </xf>
    <xf numFmtId="0" fontId="58" fillId="12" borderId="11" applyAlignment="1" applyProtection="1" pivotButton="0" quotePrefix="0" xfId="0">
      <alignment horizontal="right" vertical="center"/>
      <protection locked="1" hidden="1"/>
    </xf>
    <xf numFmtId="0" fontId="33" fillId="12" borderId="9" applyAlignment="1" applyProtection="1" pivotButton="0" quotePrefix="0" xfId="0">
      <alignment horizontal="center" vertical="center"/>
      <protection locked="1" hidden="1"/>
    </xf>
    <xf numFmtId="0" fontId="45" fillId="12" borderId="11" applyAlignment="1" applyProtection="1" pivotButton="0" quotePrefix="0" xfId="0">
      <alignment horizontal="right" vertical="center"/>
      <protection locked="1" hidden="1"/>
    </xf>
    <xf numFmtId="0" fontId="45" fillId="0" borderId="27" applyAlignment="1" applyProtection="1" pivotButton="0" quotePrefix="0" xfId="0">
      <alignment horizontal="center" vertical="center"/>
      <protection locked="1" hidden="1"/>
    </xf>
    <xf numFmtId="0" fontId="45" fillId="0" borderId="7" applyAlignment="1" applyProtection="1" pivotButton="0" quotePrefix="0" xfId="0">
      <alignment horizontal="center" vertical="center"/>
      <protection locked="1" hidden="1"/>
    </xf>
    <xf numFmtId="0" fontId="33" fillId="0" borderId="23" applyAlignment="1" applyProtection="1" pivotButton="0" quotePrefix="0" xfId="0">
      <alignment horizontal="center" vertical="center"/>
      <protection locked="1" hidden="1"/>
    </xf>
    <xf numFmtId="0" fontId="33" fillId="0" borderId="4" applyAlignment="1" applyProtection="1" pivotButton="0" quotePrefix="0" xfId="0">
      <alignment horizontal="center" vertical="center"/>
      <protection locked="1" hidden="1"/>
    </xf>
    <xf numFmtId="0" fontId="45" fillId="0" borderId="4" applyAlignment="1" applyProtection="1" pivotButton="0" quotePrefix="0" xfId="0">
      <alignment horizontal="center" vertical="center"/>
      <protection locked="1" hidden="1"/>
    </xf>
    <xf numFmtId="0" fontId="59" fillId="0" borderId="14" applyAlignment="1" applyProtection="1" pivotButton="0" quotePrefix="0" xfId="0">
      <alignment horizontal="center" vertical="center"/>
      <protection locked="1" hidden="1"/>
    </xf>
    <xf numFmtId="20" fontId="33" fillId="0" borderId="3" applyAlignment="1" applyProtection="1" pivotButton="0" quotePrefix="0" xfId="0">
      <alignment horizontal="left" vertical="center"/>
      <protection locked="1" hidden="1"/>
    </xf>
    <xf numFmtId="14" fontId="76" fillId="4" borderId="18" applyAlignment="1" applyProtection="1" pivotButton="0" quotePrefix="0" xfId="0">
      <alignment horizontal="center" vertical="center"/>
      <protection locked="1" hidden="1"/>
    </xf>
    <xf numFmtId="14" fontId="76" fillId="4" borderId="11" applyAlignment="1" applyProtection="1" pivotButton="0" quotePrefix="0" xfId="0">
      <alignment horizontal="center" vertical="center"/>
      <protection locked="1" hidden="1"/>
    </xf>
    <xf numFmtId="0" fontId="45" fillId="0" borderId="22" applyAlignment="1" applyProtection="1" pivotButton="0" quotePrefix="0" xfId="0">
      <alignment horizontal="center" vertical="center"/>
      <protection locked="1" hidden="1"/>
    </xf>
    <xf numFmtId="0" fontId="33" fillId="0" borderId="22" applyAlignment="1" applyProtection="1" pivotButton="0" quotePrefix="0" xfId="0">
      <alignment horizontal="center" vertical="center"/>
      <protection locked="1" hidden="1"/>
    </xf>
    <xf numFmtId="0" fontId="33" fillId="0" borderId="26" applyAlignment="1" applyProtection="1" pivotButton="0" quotePrefix="0" xfId="0">
      <alignment horizontal="center" vertical="center"/>
      <protection locked="1" hidden="1"/>
    </xf>
    <xf numFmtId="0" fontId="33" fillId="0" borderId="24" applyAlignment="1" applyProtection="1" pivotButton="0" quotePrefix="0" xfId="0">
      <alignment horizontal="center" vertical="center"/>
      <protection locked="1" hidden="1"/>
    </xf>
    <xf numFmtId="0" fontId="33" fillId="0" borderId="5" applyAlignment="1" applyProtection="1" pivotButton="0" quotePrefix="0" xfId="0">
      <alignment horizontal="center" vertical="center"/>
      <protection locked="1" hidden="1"/>
    </xf>
    <xf numFmtId="0" fontId="59" fillId="0" borderId="29" applyAlignment="1" applyProtection="1" pivotButton="0" quotePrefix="0" xfId="0">
      <alignment horizontal="center" vertical="center"/>
      <protection locked="1" hidden="1"/>
    </xf>
    <xf numFmtId="0" fontId="33" fillId="0" borderId="6" applyAlignment="1" applyProtection="1" pivotButton="0" quotePrefix="0" xfId="0">
      <alignment horizontal="center" vertical="center"/>
      <protection locked="1" hidden="1"/>
    </xf>
    <xf numFmtId="0" fontId="59" fillId="0" borderId="6" applyAlignment="1" applyProtection="1" pivotButton="0" quotePrefix="0" xfId="0">
      <alignment horizontal="center" vertical="center"/>
      <protection locked="1" hidden="1"/>
    </xf>
    <xf numFmtId="0" fontId="36" fillId="0" borderId="0" applyAlignment="1" applyProtection="1" pivotButton="0" quotePrefix="0" xfId="0">
      <alignment vertical="center"/>
      <protection locked="1" hidden="1"/>
    </xf>
    <xf numFmtId="0" fontId="34" fillId="2" borderId="6" applyAlignment="1" applyProtection="1" pivotButton="0" quotePrefix="0" xfId="0">
      <alignment horizontal="center" vertical="center"/>
      <protection locked="1" hidden="1"/>
    </xf>
    <xf numFmtId="0" fontId="35" fillId="0" borderId="6" applyAlignment="1" applyProtection="1" pivotButton="0" quotePrefix="0" xfId="0">
      <alignment horizontal="center" vertical="center"/>
      <protection locked="1" hidden="1"/>
    </xf>
    <xf numFmtId="0" fontId="37" fillId="0" borderId="0" applyAlignment="1" applyProtection="1" pivotButton="0" quotePrefix="0" xfId="0">
      <alignment vertical="center"/>
      <protection locked="1" hidden="1"/>
    </xf>
    <xf numFmtId="0" fontId="40" fillId="0" borderId="0" applyAlignment="1" applyProtection="1" pivotButton="0" quotePrefix="0" xfId="0">
      <alignment vertical="center"/>
      <protection locked="1" hidden="1"/>
    </xf>
    <xf numFmtId="0" fontId="54" fillId="0" borderId="0" applyAlignment="1" applyProtection="1" pivotButton="0" quotePrefix="0" xfId="0">
      <alignment vertical="center"/>
      <protection locked="1" hidden="1"/>
    </xf>
    <xf numFmtId="0" fontId="80" fillId="0" borderId="0" applyAlignment="1" applyProtection="1" pivotButton="0" quotePrefix="0" xfId="0">
      <alignment vertical="center"/>
      <protection locked="1" hidden="1"/>
    </xf>
    <xf numFmtId="0" fontId="62" fillId="9" borderId="1" applyAlignment="1" pivotButton="0" quotePrefix="0" xfId="0">
      <alignment horizontal="center" vertical="center" wrapText="1"/>
    </xf>
    <xf numFmtId="14" fontId="35"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83" fillId="0" borderId="0" applyAlignment="1" applyProtection="1" pivotButton="0" quotePrefix="0" xfId="0">
      <alignment horizontal="center" vertical="center"/>
      <protection locked="1" hidden="1"/>
    </xf>
    <xf numFmtId="0" fontId="54" fillId="9" borderId="1" applyAlignment="1" pivotButton="0" quotePrefix="0" xfId="0">
      <alignment horizontal="center" vertical="center"/>
    </xf>
    <xf numFmtId="14" fontId="82" fillId="0" borderId="0" applyAlignment="1" applyProtection="1" pivotButton="0" quotePrefix="0" xfId="0">
      <alignment horizontal="center" vertical="center"/>
      <protection locked="1" hidden="1"/>
    </xf>
    <xf numFmtId="0" fontId="33" fillId="7" borderId="25" applyAlignment="1" applyProtection="1" pivotButton="0" quotePrefix="0" xfId="0">
      <alignment horizontal="center" vertical="center"/>
      <protection locked="1" hidden="1"/>
    </xf>
    <xf numFmtId="0" fontId="45" fillId="7" borderId="10" applyAlignment="1" applyProtection="1" pivotButton="0" quotePrefix="0" xfId="0">
      <alignment horizontal="center" vertical="center"/>
      <protection locked="1" hidden="1"/>
    </xf>
    <xf numFmtId="0" fontId="45" fillId="7" borderId="13" applyAlignment="1" applyProtection="1" pivotButton="0" quotePrefix="0" xfId="0">
      <alignment horizontal="center" vertical="center"/>
      <protection locked="1" hidden="1"/>
    </xf>
    <xf numFmtId="0" fontId="45" fillId="7" borderId="15" applyAlignment="1" applyProtection="1" pivotButton="0" quotePrefix="0" xfId="0">
      <alignment horizontal="center" vertical="center"/>
      <protection locked="1" hidden="1"/>
    </xf>
    <xf numFmtId="0" fontId="45" fillId="5" borderId="25" applyAlignment="1" applyProtection="1" pivotButton="0" quotePrefix="0" xfId="0">
      <alignment horizontal="center" vertical="center"/>
      <protection locked="1" hidden="1"/>
    </xf>
    <xf numFmtId="0" fontId="45" fillId="5" borderId="21" applyAlignment="1" applyProtection="1" pivotButton="0" quotePrefix="0" xfId="0">
      <alignment horizontal="center" vertical="center"/>
      <protection locked="1" hidden="1"/>
    </xf>
    <xf numFmtId="14" fontId="45" fillId="0" borderId="2" pivotButton="0" quotePrefix="0" xfId="9"/>
    <xf numFmtId="0" fontId="45" fillId="4" borderId="8" applyProtection="1" pivotButton="0" quotePrefix="0" xfId="0">
      <protection locked="1" hidden="1"/>
    </xf>
    <xf numFmtId="0" fontId="33" fillId="0" borderId="0" applyAlignment="1" pivotButton="0" quotePrefix="0" xfId="0">
      <alignment vertical="center"/>
    </xf>
    <xf numFmtId="0" fontId="33" fillId="0" borderId="0" applyAlignment="1" pivotButton="0" quotePrefix="0" xfId="0">
      <alignment horizontal="center" vertical="center"/>
    </xf>
    <xf numFmtId="0" fontId="61" fillId="0" borderId="2" applyAlignment="1" pivotButton="0" quotePrefix="0" xfId="0">
      <alignment horizontal="center" vertical="center"/>
    </xf>
    <xf numFmtId="0" fontId="85" fillId="7" borderId="2" applyAlignment="1" applyProtection="1" pivotButton="0" quotePrefix="0" xfId="0">
      <alignment horizontal="center" vertical="center"/>
      <protection locked="1" hidden="1"/>
    </xf>
    <xf numFmtId="0" fontId="45" fillId="4" borderId="9" applyAlignment="1" applyProtection="1" pivotButton="0" quotePrefix="0" xfId="0">
      <alignment horizontal="right" vertical="center"/>
      <protection locked="1" hidden="1"/>
    </xf>
    <xf numFmtId="0" fontId="45" fillId="4" borderId="16" applyAlignment="1" applyProtection="1" pivotButton="0" quotePrefix="0" xfId="0">
      <alignment horizontal="right" vertical="center"/>
      <protection locked="1" hidden="1"/>
    </xf>
    <xf numFmtId="0" fontId="8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0" fillId="20" borderId="8" applyAlignment="1" applyProtection="1" pivotButton="0" quotePrefix="0" xfId="14">
      <alignment horizontal="center" vertical="center"/>
      <protection locked="1" hidden="1"/>
    </xf>
    <xf numFmtId="9" fontId="60" fillId="20" borderId="17" applyAlignment="1" applyProtection="1" pivotButton="0" quotePrefix="0" xfId="14">
      <alignment horizontal="center" vertical="center"/>
      <protection locked="1" hidden="1"/>
    </xf>
    <xf numFmtId="0" fontId="47" fillId="23" borderId="6" applyAlignment="1" pivotButton="0" quotePrefix="0" xfId="19">
      <alignment horizontal="center" vertical="center"/>
    </xf>
    <xf numFmtId="0" fontId="26" fillId="0" borderId="2" applyAlignment="1" pivotButton="0" quotePrefix="0" xfId="15">
      <alignment vertical="center"/>
    </xf>
    <xf numFmtId="0" fontId="26" fillId="0" borderId="6" applyAlignment="1" pivotButton="0" quotePrefix="0" xfId="19">
      <alignment horizontal="center" vertical="center"/>
    </xf>
    <xf numFmtId="0" fontId="26" fillId="0" borderId="6" applyAlignment="1" pivotButton="0" quotePrefix="0" xfId="19">
      <alignment horizontal="left" vertical="center"/>
    </xf>
    <xf numFmtId="0" fontId="26" fillId="0" borderId="6" applyAlignment="1" pivotButton="0" quotePrefix="0" xfId="19">
      <alignment vertical="center"/>
    </xf>
    <xf numFmtId="0" fontId="26" fillId="0" borderId="6" applyAlignment="1" pivotButton="0" quotePrefix="0" xfId="15">
      <alignment vertical="center"/>
    </xf>
    <xf numFmtId="0" fontId="26" fillId="0" borderId="6" applyAlignment="1" pivotButton="0" quotePrefix="0" xfId="15">
      <alignment horizontal="center" vertical="center"/>
    </xf>
    <xf numFmtId="0" fontId="26" fillId="0" borderId="6" applyAlignment="1" pivotButton="0" quotePrefix="1" xfId="19">
      <alignment horizontal="left" vertical="center"/>
    </xf>
    <xf numFmtId="0" fontId="26" fillId="0" borderId="2" applyAlignment="1" pivotButton="0" quotePrefix="0" xfId="19">
      <alignment horizontal="center" vertical="center"/>
    </xf>
    <xf numFmtId="0" fontId="26" fillId="0" borderId="2" applyAlignment="1" pivotButton="0" quotePrefix="0" xfId="19">
      <alignment horizontal="left" vertical="center"/>
    </xf>
    <xf numFmtId="0" fontId="88" fillId="0" borderId="6" applyAlignment="1" applyProtection="1" pivotButton="0" quotePrefix="0" xfId="0">
      <alignment horizontal="center" vertical="center"/>
      <protection locked="1" hidden="1"/>
    </xf>
    <xf numFmtId="0" fontId="89" fillId="0" borderId="0" applyAlignment="1" applyProtection="1" pivotButton="0" quotePrefix="0" xfId="0">
      <alignment vertical="center"/>
      <protection locked="1" hidden="1"/>
    </xf>
    <xf numFmtId="0" fontId="90" fillId="0" borderId="0" applyAlignment="1" applyProtection="1" pivotButton="0" quotePrefix="0" xfId="0">
      <alignment vertical="center"/>
      <protection locked="1" hidden="1"/>
    </xf>
    <xf numFmtId="0" fontId="80" fillId="9" borderId="1" applyAlignment="1" pivotButton="0" quotePrefix="0" xfId="0">
      <alignment horizontal="center" vertical="center"/>
    </xf>
    <xf numFmtId="0" fontId="91" fillId="0" borderId="32" applyAlignment="1" pivotButton="0" quotePrefix="0" xfId="0">
      <alignment horizontal="left" vertical="center" wrapText="1"/>
    </xf>
    <xf numFmtId="0" fontId="80" fillId="0" borderId="1" applyAlignment="1" pivotButton="0" quotePrefix="0" xfId="0">
      <alignment horizontal="center" vertical="center"/>
    </xf>
    <xf numFmtId="0" fontId="38" fillId="18" borderId="6" applyAlignment="1" applyProtection="1" pivotButton="0" quotePrefix="0" xfId="0">
      <alignment horizontal="center" vertical="center"/>
      <protection locked="1" hidden="1"/>
    </xf>
    <xf numFmtId="0" fontId="93" fillId="4" borderId="6" applyAlignment="1" applyProtection="1" pivotButton="0" quotePrefix="0" xfId="0">
      <alignment vertical="center"/>
      <protection locked="1" hidden="1"/>
    </xf>
    <xf numFmtId="0" fontId="38"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6" fillId="7" borderId="2" applyAlignment="1" applyProtection="1" pivotButton="0" quotePrefix="0" xfId="0">
      <alignment horizontal="center" vertical="center"/>
      <protection locked="1" hidden="1"/>
    </xf>
    <xf numFmtId="0" fontId="87" fillId="4" borderId="2" applyAlignment="1" pivotButton="0" quotePrefix="0" xfId="0">
      <alignment horizontal="center" vertical="center"/>
    </xf>
    <xf numFmtId="0" fontId="94" fillId="4" borderId="6" applyAlignment="1" applyProtection="1" pivotButton="0" quotePrefix="0" xfId="0">
      <alignment horizontal="center" vertical="center"/>
      <protection locked="1" hidden="1"/>
    </xf>
    <xf numFmtId="0" fontId="39" fillId="18" borderId="6" applyAlignment="1" applyProtection="1" pivotButton="0" quotePrefix="0" xfId="0">
      <alignment horizontal="center" vertical="center"/>
      <protection locked="1" hidden="1"/>
    </xf>
    <xf numFmtId="0" fontId="39" fillId="6" borderId="6" applyAlignment="1" applyProtection="1" pivotButton="0" quotePrefix="0" xfId="14">
      <alignment horizontal="center" vertical="center"/>
      <protection locked="1" hidden="1"/>
    </xf>
    <xf numFmtId="0" fontId="58" fillId="12" borderId="6" applyAlignment="1" applyProtection="1" pivotButton="0" quotePrefix="0" xfId="0">
      <alignment horizontal="center" vertical="center"/>
      <protection locked="1" hidden="1"/>
    </xf>
    <xf numFmtId="0" fontId="33" fillId="0" borderId="18" applyAlignment="1" applyProtection="1" pivotButton="0" quotePrefix="0" xfId="0">
      <alignment horizontal="center" vertical="center"/>
      <protection locked="1" hidden="1"/>
    </xf>
    <xf numFmtId="0" fontId="45" fillId="0" borderId="5" applyAlignment="1" applyProtection="1" pivotButton="0" quotePrefix="0" xfId="0">
      <alignment horizontal="center" vertical="center"/>
      <protection locked="1" hidden="1"/>
    </xf>
    <xf numFmtId="0" fontId="59" fillId="0" borderId="18" applyAlignment="1" applyProtection="1" pivotButton="0" quotePrefix="0" xfId="0">
      <alignment horizontal="center" vertical="center"/>
      <protection locked="1" hidden="1"/>
    </xf>
    <xf numFmtId="20" fontId="33" fillId="0" borderId="35" applyAlignment="1" applyProtection="1" pivotButton="0" quotePrefix="0" xfId="0">
      <alignment horizontal="left" vertical="center"/>
      <protection locked="1" hidden="1"/>
    </xf>
    <xf numFmtId="0" fontId="45" fillId="0" borderId="6" applyAlignment="1" applyProtection="1" pivotButton="0" quotePrefix="0" xfId="0">
      <alignment horizontal="center" vertical="center"/>
      <protection locked="1" hidden="1"/>
    </xf>
    <xf numFmtId="14" fontId="25" fillId="0" borderId="2" applyAlignment="1" pivotButton="0" quotePrefix="0" xfId="24">
      <alignment horizontal="center" vertical="center"/>
    </xf>
    <xf numFmtId="0" fontId="38" fillId="18" borderId="25" applyAlignment="1" applyProtection="1" pivotButton="0" quotePrefix="0" xfId="0">
      <alignment horizontal="center" vertical="center"/>
      <protection locked="1" hidden="1"/>
    </xf>
    <xf numFmtId="0" fontId="38" fillId="18" borderId="16" applyAlignment="1" applyProtection="1" pivotButton="0" quotePrefix="0" xfId="0">
      <alignment horizontal="right" vertical="center"/>
      <protection locked="1" hidden="1"/>
    </xf>
    <xf numFmtId="0" fontId="79" fillId="4" borderId="8" applyAlignment="1" applyProtection="1" pivotButton="0" quotePrefix="0" xfId="0">
      <alignment horizontal="right" vertical="center"/>
      <protection locked="1" hidden="1"/>
    </xf>
    <xf numFmtId="0" fontId="89" fillId="4" borderId="8" applyAlignment="1" applyProtection="1" pivotButton="0" quotePrefix="0" xfId="0">
      <alignment horizontal="center" vertical="center"/>
      <protection locked="1" hidden="1"/>
    </xf>
    <xf numFmtId="9" fontId="89" fillId="4" borderId="8" applyAlignment="1" applyProtection="1" pivotButton="0" quotePrefix="0" xfId="14">
      <alignment horizontal="center" vertical="center"/>
      <protection locked="1" hidden="1"/>
    </xf>
    <xf numFmtId="0" fontId="38" fillId="19" borderId="8" applyAlignment="1" applyProtection="1" pivotButton="0" quotePrefix="0" xfId="0">
      <alignment horizontal="center" vertical="center"/>
      <protection locked="1" hidden="1"/>
    </xf>
    <xf numFmtId="0" fontId="38" fillId="4" borderId="0" applyAlignment="1" applyProtection="1" pivotButton="0" quotePrefix="0" xfId="0">
      <alignment horizontal="center" vertical="center"/>
      <protection locked="1" hidden="1"/>
    </xf>
    <xf numFmtId="0" fontId="45" fillId="0" borderId="9" applyAlignment="1" applyProtection="1" pivotButton="0" quotePrefix="0" xfId="0">
      <alignment horizontal="center" vertical="center"/>
      <protection locked="1" hidden="1"/>
    </xf>
    <xf numFmtId="0" fontId="45" fillId="4" borderId="21" applyProtection="1" pivotButton="0" quotePrefix="0" xfId="0">
      <protection locked="1" hidden="1"/>
    </xf>
    <xf numFmtId="0" fontId="47" fillId="25" borderId="18" applyAlignment="1" applyProtection="1" pivotButton="0" quotePrefix="0" xfId="0">
      <alignment horizontal="center" vertical="center" wrapText="1"/>
      <protection locked="1" hidden="1"/>
    </xf>
    <xf numFmtId="0" fontId="28" fillId="0" borderId="2" applyAlignment="1" applyProtection="1" pivotButton="0" quotePrefix="0" xfId="0">
      <alignment horizontal="center" vertical="center"/>
      <protection locked="1" hidden="1"/>
    </xf>
    <xf numFmtId="0" fontId="59" fillId="7" borderId="18" applyAlignment="1" pivotButton="0" quotePrefix="0" xfId="0">
      <alignment horizontal="center" vertical="center"/>
    </xf>
    <xf numFmtId="0" fontId="59" fillId="7" borderId="11" applyAlignment="1" pivotButton="0" quotePrefix="0" xfId="0">
      <alignment horizontal="center" vertical="center"/>
    </xf>
    <xf numFmtId="20" fontId="33" fillId="0" borderId="9" applyAlignment="1" applyProtection="1" pivotButton="0" quotePrefix="0" xfId="0">
      <alignment horizontal="left" vertical="center"/>
      <protection locked="1" hidden="1"/>
    </xf>
    <xf numFmtId="0" fontId="52" fillId="7" borderId="21" applyAlignment="1" applyProtection="1" pivotButton="0" quotePrefix="0" xfId="0">
      <alignment horizontal="center" vertical="center"/>
      <protection locked="1" hidden="1"/>
    </xf>
    <xf numFmtId="0" fontId="45" fillId="5" borderId="19" applyAlignment="1" applyProtection="1" pivotButton="0" quotePrefix="0" xfId="0">
      <alignment horizontal="center" vertical="center"/>
      <protection locked="1" hidden="1"/>
    </xf>
    <xf numFmtId="0" fontId="45" fillId="0" borderId="18" applyAlignment="1" applyProtection="1" pivotButton="0" quotePrefix="0" xfId="0">
      <alignment horizontal="center" vertical="center"/>
      <protection locked="1" hidden="1"/>
    </xf>
    <xf numFmtId="0" fontId="45" fillId="0" borderId="37" applyAlignment="1" applyProtection="1" pivotButton="0" quotePrefix="0" xfId="0">
      <alignment horizontal="center" vertical="center"/>
      <protection locked="1" hidden="1"/>
    </xf>
    <xf numFmtId="0" fontId="33" fillId="0" borderId="9" applyAlignment="1" pivotButton="0" quotePrefix="0" xfId="0">
      <alignment horizontal="center" vertical="center"/>
    </xf>
    <xf numFmtId="0" fontId="52" fillId="7" borderId="11" applyAlignment="1" applyProtection="1" pivotButton="0" quotePrefix="0" xfId="0">
      <alignment horizontal="center" vertical="center"/>
      <protection locked="1" hidden="1"/>
    </xf>
    <xf numFmtId="0" fontId="55" fillId="4" borderId="6" applyAlignment="1" applyProtection="1" pivotButton="0" quotePrefix="0" xfId="0">
      <alignment horizontal="center" vertical="center"/>
      <protection locked="1" hidden="1"/>
    </xf>
    <xf numFmtId="0" fontId="24" fillId="0" borderId="0" applyAlignment="1" pivotButton="0" quotePrefix="0" xfId="0">
      <alignment horizontal="center" vertical="center"/>
    </xf>
    <xf numFmtId="0" fontId="24" fillId="0" borderId="0" applyAlignment="1" pivotButton="0" quotePrefix="0" xfId="0">
      <alignment horizontal="right" vertical="center"/>
    </xf>
    <xf numFmtId="0" fontId="55" fillId="0" borderId="0" applyAlignment="1" pivotButton="0" quotePrefix="0" xfId="0">
      <alignment horizontal="center" vertical="center"/>
    </xf>
    <xf numFmtId="0" fontId="24" fillId="0" borderId="6" applyAlignment="1" applyProtection="1" pivotButton="0" quotePrefix="0" xfId="0">
      <alignment horizontal="center" vertical="center"/>
      <protection locked="1" hidden="1"/>
    </xf>
    <xf numFmtId="0" fontId="61" fillId="0" borderId="6" applyAlignment="1" applyProtection="1" pivotButton="0" quotePrefix="0" xfId="14">
      <alignment horizontal="center" vertical="center"/>
      <protection locked="1" hidden="1"/>
    </xf>
    <xf numFmtId="0" fontId="24" fillId="0" borderId="2" applyAlignment="1" pivotButton="0" quotePrefix="0" xfId="0">
      <alignment horizontal="center" vertical="center"/>
    </xf>
    <xf numFmtId="0" fontId="24" fillId="0" borderId="6" applyAlignment="1" pivotButton="0" quotePrefix="0" xfId="0">
      <alignment horizontal="center" vertical="center"/>
    </xf>
    <xf numFmtId="0" fontId="95" fillId="0" borderId="6" applyAlignment="1" pivotButton="0" quotePrefix="0" xfId="0">
      <alignment horizontal="center" vertical="center"/>
    </xf>
    <xf numFmtId="0" fontId="55" fillId="12" borderId="6" applyAlignment="1" pivotButton="0" quotePrefix="0" xfId="0">
      <alignment horizontal="center" vertical="center"/>
    </xf>
    <xf numFmtId="0" fontId="96" fillId="12" borderId="6" applyAlignment="1" applyProtection="1" pivotButton="0" quotePrefix="0" xfId="15">
      <alignment horizontal="center" vertical="center"/>
      <protection locked="1" hidden="1"/>
    </xf>
    <xf numFmtId="0" fontId="55" fillId="0" borderId="2" applyAlignment="1" pivotButton="0" quotePrefix="0" xfId="0">
      <alignment horizontal="center" vertical="center"/>
    </xf>
    <xf numFmtId="14" fontId="84" fillId="26" borderId="18" applyAlignment="1" applyProtection="1" pivotButton="0" quotePrefix="0" xfId="0">
      <alignment horizontal="center" vertical="center"/>
      <protection locked="1" hidden="1"/>
    </xf>
    <xf numFmtId="0" fontId="59" fillId="7" borderId="25" applyAlignment="1" applyProtection="1" pivotButton="0" quotePrefix="0" xfId="0">
      <alignment horizontal="center" vertical="center"/>
      <protection locked="1" hidden="1"/>
    </xf>
    <xf numFmtId="0" fontId="47" fillId="27" borderId="18" applyAlignment="1" applyProtection="1" pivotButton="0" quotePrefix="0" xfId="0">
      <alignment horizontal="center" vertical="center" wrapText="1"/>
      <protection locked="1" hidden="1"/>
    </xf>
    <xf numFmtId="0" fontId="23" fillId="0" borderId="0" applyAlignment="1" pivotButton="0" quotePrefix="0" xfId="0">
      <alignment horizontal="center" vertical="center"/>
    </xf>
    <xf numFmtId="0" fontId="23"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5" fillId="12" borderId="6" applyAlignment="1" pivotButton="0" quotePrefix="0" xfId="0">
      <alignment horizontal="right" vertical="center"/>
    </xf>
    <xf numFmtId="0" fontId="22" fillId="0" borderId="6" applyAlignment="1" pivotButton="0" quotePrefix="0" xfId="0">
      <alignment horizontal="center" vertical="center"/>
    </xf>
    <xf numFmtId="0" fontId="36"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6"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33" fillId="0" borderId="10" applyAlignment="1" applyProtection="1" pivotButton="0" quotePrefix="0" xfId="0">
      <alignment horizontal="left" vertical="center"/>
      <protection locked="1" hidden="1"/>
    </xf>
    <xf numFmtId="0" fontId="21" fillId="0" borderId="0" applyAlignment="1" pivotButton="0" quotePrefix="0" xfId="0">
      <alignment horizontal="center" vertical="center"/>
    </xf>
    <xf numFmtId="0" fontId="20" fillId="0" borderId="2" applyAlignment="1" pivotButton="0" quotePrefix="0" xfId="15">
      <alignment vertical="center"/>
    </xf>
    <xf numFmtId="14" fontId="84" fillId="26" borderId="25" applyAlignment="1" applyProtection="1" pivotButton="0" quotePrefix="0" xfId="0">
      <alignment horizontal="center" vertical="center"/>
      <protection locked="1" hidden="1"/>
    </xf>
    <xf numFmtId="0" fontId="97" fillId="0" borderId="2" pivotButton="0" quotePrefix="0" xfId="9"/>
    <xf numFmtId="0" fontId="98" fillId="0" borderId="2" pivotButton="0" quotePrefix="0" xfId="9"/>
    <xf numFmtId="0" fontId="52" fillId="7" borderId="18" applyAlignment="1" applyProtection="1" pivotButton="0" quotePrefix="0" xfId="0">
      <alignment horizontal="center" vertical="center"/>
      <protection locked="1" hidden="1"/>
    </xf>
    <xf numFmtId="0" fontId="33" fillId="0" borderId="2" applyAlignment="1" applyProtection="1" pivotButton="0" quotePrefix="0" xfId="0">
      <alignment vertical="center"/>
      <protection locked="1" hidden="1"/>
    </xf>
    <xf numFmtId="0" fontId="45" fillId="22" borderId="16" applyAlignment="1" applyProtection="1" pivotButton="0" quotePrefix="0" xfId="0">
      <alignment horizontal="center" vertical="center"/>
      <protection locked="1" hidden="1"/>
    </xf>
    <xf numFmtId="0" fontId="45" fillId="22" borderId="8" applyAlignment="1" applyProtection="1" pivotButton="0" quotePrefix="0" xfId="0">
      <alignment horizontal="center" vertical="center"/>
      <protection locked="1" hidden="1"/>
    </xf>
    <xf numFmtId="0" fontId="33" fillId="22" borderId="8" applyAlignment="1" applyProtection="1" pivotButton="0" quotePrefix="0" xfId="0">
      <alignment horizontal="center" vertical="center"/>
      <protection locked="1" hidden="1"/>
    </xf>
    <xf numFmtId="0" fontId="45" fillId="22" borderId="17" applyAlignment="1" applyProtection="1" pivotButton="0" quotePrefix="0" xfId="0">
      <alignment horizontal="center" vertical="center"/>
      <protection locked="1" hidden="1"/>
    </xf>
    <xf numFmtId="0" fontId="58" fillId="12" borderId="9" applyAlignment="1" applyProtection="1" pivotButton="0" quotePrefix="0" xfId="0">
      <alignment horizontal="right" vertical="center"/>
      <protection locked="1" hidden="1"/>
    </xf>
    <xf numFmtId="0" fontId="45" fillId="12" borderId="16" applyAlignment="1" applyProtection="1" pivotButton="0" quotePrefix="0" xfId="0">
      <alignment horizontal="right" vertical="center"/>
      <protection locked="1" hidden="1"/>
    </xf>
    <xf numFmtId="0" fontId="33" fillId="12" borderId="11" applyAlignment="1" applyProtection="1" pivotButton="0" quotePrefix="0" xfId="0">
      <alignment horizontal="center" vertical="center"/>
      <protection locked="1" hidden="1"/>
    </xf>
    <xf numFmtId="0" fontId="33" fillId="12" borderId="12" applyAlignment="1" applyProtection="1" pivotButton="0" quotePrefix="0" xfId="0">
      <alignment horizontal="center" vertical="center"/>
      <protection locked="1" hidden="1"/>
    </xf>
    <xf numFmtId="0" fontId="96" fillId="12" borderId="25" applyAlignment="1" applyProtection="1" pivotButton="0" quotePrefix="0" xfId="15">
      <alignment horizontal="right" vertical="center"/>
      <protection locked="1" hidden="1"/>
    </xf>
    <xf numFmtId="0" fontId="58" fillId="7" borderId="25"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9" fontId="60" fillId="20" borderId="20" applyAlignment="1" applyProtection="1" pivotButton="0" quotePrefix="0" xfId="14">
      <alignment horizontal="center" vertical="center"/>
      <protection locked="1" hidden="1"/>
    </xf>
    <xf numFmtId="9" fontId="60" fillId="20" borderId="9" applyAlignment="1" applyProtection="1" pivotButton="0" quotePrefix="0" xfId="14">
      <alignment horizontal="center" vertical="center"/>
      <protection locked="1" hidden="1"/>
    </xf>
    <xf numFmtId="0" fontId="47" fillId="2" borderId="6" applyAlignment="1" applyProtection="1" pivotButton="0" quotePrefix="0" xfId="0">
      <alignment horizontal="center" vertical="center"/>
      <protection locked="1" hidden="1"/>
    </xf>
    <xf numFmtId="0" fontId="45" fillId="0" borderId="12" applyAlignment="1" applyProtection="1" pivotButton="0" quotePrefix="0" xfId="0">
      <alignment horizontal="center" vertical="center"/>
      <protection locked="1" hidden="1"/>
    </xf>
    <xf numFmtId="0" fontId="33" fillId="0" borderId="12" applyAlignment="1" applyProtection="1" pivotButton="0" quotePrefix="0" xfId="0">
      <alignment horizontal="center" vertical="center"/>
      <protection locked="1" hidden="1"/>
    </xf>
    <xf numFmtId="20" fontId="33" fillId="0" borderId="12" applyAlignment="1" applyProtection="1" pivotButton="0" quotePrefix="0" xfId="0">
      <alignment horizontal="center" vertical="center"/>
      <protection locked="1" hidden="1"/>
    </xf>
    <xf numFmtId="0" fontId="59" fillId="0" borderId="12" applyAlignment="1" applyProtection="1" pivotButton="0" quotePrefix="0" xfId="0">
      <alignment horizontal="center" vertical="center"/>
      <protection locked="1" hidden="1"/>
    </xf>
    <xf numFmtId="14" fontId="57" fillId="10" borderId="12" applyAlignment="1" applyProtection="1" pivotButton="0" quotePrefix="0" xfId="0">
      <alignment horizontal="center" vertical="center"/>
      <protection locked="1" hidden="1"/>
    </xf>
    <xf numFmtId="0" fontId="59" fillId="4" borderId="11" applyAlignment="1" pivotButton="0" quotePrefix="0" xfId="0">
      <alignment horizontal="center" vertical="center"/>
    </xf>
    <xf numFmtId="0" fontId="45" fillId="4" borderId="2" applyProtection="1" pivotButton="0" quotePrefix="0" xfId="0">
      <protection locked="1" hidden="1"/>
    </xf>
    <xf numFmtId="0" fontId="45" fillId="0" borderId="0" applyAlignment="1" applyProtection="1" pivotButton="0" quotePrefix="0" xfId="0">
      <alignment horizontal="center" vertical="center"/>
      <protection locked="1" hidden="1"/>
    </xf>
    <xf numFmtId="0" fontId="33" fillId="0" borderId="9" applyAlignment="1" applyProtection="1" pivotButton="0" quotePrefix="0" xfId="0">
      <alignment horizontal="center" vertical="center"/>
      <protection locked="1" hidden="1"/>
    </xf>
    <xf numFmtId="0" fontId="33" fillId="0" borderId="2" applyAlignment="1" applyProtection="1" pivotButton="0" quotePrefix="0" xfId="0">
      <alignment horizontal="center" vertical="center"/>
      <protection locked="1" hidden="1"/>
    </xf>
    <xf numFmtId="0" fontId="33" fillId="0" borderId="6" applyAlignment="1" pivotButton="0" quotePrefix="0" xfId="0">
      <alignment horizontal="center" vertical="center"/>
    </xf>
    <xf numFmtId="0" fontId="47" fillId="2" borderId="18" applyAlignment="1" applyProtection="1" pivotButton="0" quotePrefix="0" xfId="0">
      <alignment horizontal="center" vertical="center" wrapText="1"/>
      <protection locked="1" hidden="1"/>
    </xf>
    <xf numFmtId="0" fontId="47" fillId="2" borderId="6" applyAlignment="1" applyProtection="1" pivotButton="0" quotePrefix="0" xfId="0">
      <alignment horizontal="center" vertical="center" wrapText="1"/>
      <protection locked="1" hidden="1"/>
    </xf>
    <xf numFmtId="0" fontId="19" fillId="12" borderId="6" applyAlignment="1" pivotButton="0" quotePrefix="0" xfId="0">
      <alignment horizontal="center" vertical="center"/>
    </xf>
    <xf numFmtId="0" fontId="19" fillId="0" borderId="2" applyAlignment="1" pivotButton="0" quotePrefix="0" xfId="0">
      <alignment horizontal="center" vertical="center"/>
    </xf>
    <xf numFmtId="0" fontId="19" fillId="0" borderId="2" applyAlignment="1" pivotButton="0" quotePrefix="0" xfId="0">
      <alignment vertical="center"/>
    </xf>
    <xf numFmtId="0" fontId="45" fillId="0" borderId="23" applyAlignment="1" applyProtection="1" pivotButton="0" quotePrefix="0" xfId="0">
      <alignment horizontal="center" vertical="center"/>
      <protection locked="1" hidden="1"/>
    </xf>
    <xf numFmtId="0" fontId="59" fillId="0" borderId="38" applyAlignment="1" applyProtection="1" pivotButton="0" quotePrefix="0" xfId="0">
      <alignment horizontal="center" vertical="center"/>
      <protection locked="1" hidden="1"/>
    </xf>
    <xf numFmtId="20" fontId="33" fillId="0" borderId="7" applyAlignment="1" applyProtection="1" pivotButton="0" quotePrefix="0" xfId="0">
      <alignment horizontal="left" vertical="center"/>
      <protection locked="1" hidden="1"/>
    </xf>
    <xf numFmtId="0" fontId="45" fillId="5" borderId="16" applyAlignment="1" applyProtection="1" pivotButton="0" quotePrefix="0" xfId="0">
      <alignment horizontal="center" vertical="center"/>
      <protection locked="1" hidden="1"/>
    </xf>
    <xf numFmtId="0" fontId="45" fillId="5" borderId="8" applyAlignment="1" applyProtection="1" pivotButton="0" quotePrefix="0" xfId="0">
      <alignment horizontal="center" vertical="center"/>
      <protection locked="1" hidden="1"/>
    </xf>
    <xf numFmtId="0" fontId="45" fillId="5" borderId="17" applyAlignment="1" applyProtection="1" pivotButton="0" quotePrefix="0" xfId="0">
      <alignment horizontal="center" vertical="center"/>
      <protection locked="1" hidden="1"/>
    </xf>
    <xf numFmtId="9" fontId="60" fillId="20" borderId="2" applyAlignment="1" applyProtection="1" pivotButton="0" quotePrefix="0" xfId="14">
      <alignment horizontal="center" vertical="center"/>
      <protection locked="1" hidden="1"/>
    </xf>
    <xf numFmtId="0" fontId="96" fillId="12" borderId="18" applyAlignment="1" applyProtection="1" pivotButton="0" quotePrefix="0" xfId="15">
      <alignment horizontal="right" vertical="center"/>
      <protection locked="1" hidden="1"/>
    </xf>
    <xf numFmtId="0" fontId="45" fillId="12" borderId="12" applyAlignment="1" applyProtection="1" pivotButton="0" quotePrefix="0" xfId="0">
      <alignment horizontal="right" vertical="center"/>
      <protection locked="1" hidden="1"/>
    </xf>
    <xf numFmtId="9" fontId="60" fillId="20" borderId="25" applyAlignment="1" applyProtection="1" pivotButton="0" quotePrefix="0" xfId="14">
      <alignment horizontal="center" vertical="center"/>
      <protection locked="1" hidden="1"/>
    </xf>
    <xf numFmtId="9" fontId="60" fillId="20" borderId="21" applyAlignment="1" applyProtection="1" pivotButton="0" quotePrefix="0" xfId="14">
      <alignment horizontal="center" vertical="center"/>
      <protection locked="1" hidden="1"/>
    </xf>
    <xf numFmtId="9" fontId="60" fillId="20" borderId="19" applyAlignment="1" applyProtection="1" pivotButton="0" quotePrefix="0" xfId="14">
      <alignment horizontal="center" vertical="center"/>
      <protection locked="1" hidden="1"/>
    </xf>
    <xf numFmtId="0" fontId="45" fillId="7" borderId="16" applyAlignment="1" applyProtection="1" pivotButton="0" quotePrefix="0" xfId="0">
      <alignment horizontal="center" vertical="center"/>
      <protection locked="1" hidden="1"/>
    </xf>
    <xf numFmtId="0" fontId="45" fillId="7" borderId="8" applyAlignment="1" applyProtection="1" pivotButton="0" quotePrefix="0" xfId="0">
      <alignment horizontal="center" vertical="center"/>
      <protection locked="1" hidden="1"/>
    </xf>
    <xf numFmtId="0" fontId="45" fillId="7" borderId="17" applyAlignment="1" applyProtection="1" pivotButton="0" quotePrefix="0" xfId="0">
      <alignment horizontal="center" vertical="center"/>
      <protection locked="1" hidden="1"/>
    </xf>
    <xf numFmtId="20" fontId="33" fillId="0" borderId="16" applyAlignment="1" applyProtection="1" pivotButton="0" quotePrefix="0" xfId="0">
      <alignment horizontal="left" vertical="center"/>
      <protection locked="1" hidden="1"/>
    </xf>
    <xf numFmtId="0" fontId="47" fillId="13" borderId="18" applyAlignment="1" applyProtection="1" pivotButton="0" quotePrefix="0" xfId="0">
      <alignment horizontal="center" vertical="center"/>
      <protection locked="1" hidden="1"/>
    </xf>
    <xf numFmtId="0" fontId="47" fillId="2" borderId="18" applyAlignment="1" applyProtection="1" pivotButton="0" quotePrefix="0" xfId="0">
      <alignment horizontal="center" vertical="center"/>
      <protection locked="1" hidden="1"/>
    </xf>
    <xf numFmtId="14" fontId="76" fillId="4" borderId="12" applyAlignment="1" applyProtection="1" pivotButton="0" quotePrefix="0" xfId="0">
      <alignment horizontal="center" vertical="center"/>
      <protection locked="1" hidden="1"/>
    </xf>
    <xf numFmtId="14" fontId="57" fillId="10" borderId="18" applyAlignment="1" applyProtection="1" pivotButton="0" quotePrefix="0" xfId="0">
      <alignment horizontal="center" vertical="center"/>
      <protection locked="1" hidden="1"/>
    </xf>
    <xf numFmtId="14" fontId="57" fillId="10" borderId="11" applyAlignment="1" applyProtection="1" pivotButton="0" quotePrefix="0" xfId="0">
      <alignment horizontal="center" vertical="center"/>
      <protection locked="1" hidden="1"/>
    </xf>
    <xf numFmtId="0" fontId="45" fillId="4" borderId="18" applyAlignment="1" applyProtection="1" pivotButton="0" quotePrefix="0" xfId="0">
      <alignment horizontal="center" vertical="center"/>
      <protection locked="1" hidden="1"/>
    </xf>
    <xf numFmtId="0" fontId="45" fillId="4" borderId="11" applyAlignment="1" applyProtection="1" pivotButton="0" quotePrefix="0" xfId="0">
      <alignment horizontal="center" vertical="center"/>
      <protection locked="1" hidden="1"/>
    </xf>
    <xf numFmtId="0" fontId="45" fillId="4" borderId="12" applyAlignment="1" applyProtection="1" pivotButton="0" quotePrefix="0" xfId="0">
      <alignment horizontal="center" vertical="center"/>
      <protection locked="1" hidden="1"/>
    </xf>
    <xf numFmtId="0" fontId="59" fillId="4" borderId="18" applyAlignment="1" pivotButton="0" quotePrefix="0" xfId="0">
      <alignment horizontal="center" vertical="center"/>
    </xf>
    <xf numFmtId="0" fontId="59" fillId="4" borderId="12" applyAlignment="1" pivotButton="0" quotePrefix="0" xfId="0">
      <alignment horizontal="center" vertical="center"/>
    </xf>
    <xf numFmtId="0" fontId="45" fillId="4" borderId="13" applyProtection="1" pivotButton="0" quotePrefix="0" xfId="0">
      <protection locked="1" hidden="1"/>
    </xf>
    <xf numFmtId="14" fontId="84" fillId="26" borderId="2" applyAlignment="1" applyProtection="1" pivotButton="0" quotePrefix="0" xfId="0">
      <alignment horizontal="center" vertical="center"/>
      <protection locked="1" hidden="1"/>
    </xf>
    <xf numFmtId="0" fontId="59" fillId="7" borderId="6" applyAlignment="1" applyProtection="1" pivotButton="0" quotePrefix="0" xfId="0">
      <alignment horizontal="center" vertical="center"/>
      <protection locked="1" hidden="1"/>
    </xf>
    <xf numFmtId="14" fontId="84" fillId="26" borderId="6" applyAlignment="1" applyProtection="1" pivotButton="0" quotePrefix="0" xfId="0">
      <alignment horizontal="center" vertical="center"/>
      <protection locked="1" hidden="1"/>
    </xf>
    <xf numFmtId="0" fontId="52" fillId="7" borderId="6" applyAlignment="1" applyProtection="1" pivotButton="0" quotePrefix="0" xfId="0">
      <alignment horizontal="center" vertical="center"/>
      <protection locked="1" hidden="1"/>
    </xf>
    <xf numFmtId="14" fontId="84" fillId="26" borderId="21" applyAlignment="1" applyProtection="1" pivotButton="0" quotePrefix="0" xfId="0">
      <alignment horizontal="center" vertical="center"/>
      <protection locked="1" hidden="1"/>
    </xf>
    <xf numFmtId="0" fontId="33" fillId="0" borderId="2" applyAlignment="1" pivotButton="0" quotePrefix="0" xfId="0">
      <alignment vertical="center"/>
    </xf>
    <xf numFmtId="0" fontId="33" fillId="0" borderId="15" applyAlignment="1" pivotButton="0" quotePrefix="0" xfId="0">
      <alignment vertical="center"/>
    </xf>
    <xf numFmtId="0" fontId="47" fillId="25" borderId="25" applyAlignment="1" applyProtection="1" pivotButton="0" quotePrefix="0" xfId="0">
      <alignment horizontal="center" vertical="center" wrapText="1"/>
      <protection locked="1" hidden="1"/>
    </xf>
    <xf numFmtId="14" fontId="78" fillId="4" borderId="25" applyAlignment="1" applyProtection="1" pivotButton="0" quotePrefix="0" xfId="0">
      <alignment horizontal="center" vertical="center"/>
      <protection locked="1" hidden="1"/>
    </xf>
    <xf numFmtId="14" fontId="78" fillId="4" borderId="9" applyAlignment="1" applyProtection="1" pivotButton="0" quotePrefix="0" xfId="0">
      <alignment horizontal="center" vertical="center"/>
      <protection locked="1" hidden="1"/>
    </xf>
    <xf numFmtId="14" fontId="78" fillId="4" borderId="16" applyAlignment="1" applyProtection="1" pivotButton="0" quotePrefix="0" xfId="0">
      <alignment horizontal="center" vertical="center"/>
      <protection locked="1" hidden="1"/>
    </xf>
    <xf numFmtId="0" fontId="18" fillId="0" borderId="0" applyAlignment="1" pivotButton="0" quotePrefix="0" xfId="0">
      <alignment horizontal="center" vertical="center"/>
    </xf>
    <xf numFmtId="2" fontId="24" fillId="0" borderId="0" applyAlignment="1" pivotButton="0" quotePrefix="0" xfId="0">
      <alignment horizontal="center" vertical="center"/>
    </xf>
    <xf numFmtId="0" fontId="58" fillId="7" borderId="2" applyAlignment="1" pivotButton="0" quotePrefix="0" xfId="0">
      <alignment horizontal="center" vertical="center"/>
    </xf>
    <xf numFmtId="0" fontId="45" fillId="5" borderId="2" applyAlignment="1" pivotButton="0" quotePrefix="0" xfId="0">
      <alignment horizontal="center" vertical="center"/>
    </xf>
    <xf numFmtId="0" fontId="45" fillId="0" borderId="2" applyAlignment="1" pivotButton="0" quotePrefix="0" xfId="0">
      <alignment vertical="center"/>
    </xf>
    <xf numFmtId="0" fontId="45" fillId="0" borderId="2" applyAlignment="1" pivotButton="0" quotePrefix="0" xfId="0">
      <alignment horizontal="center" vertical="center"/>
    </xf>
    <xf numFmtId="0" fontId="58" fillId="0" borderId="2" applyAlignment="1" pivotButton="0" quotePrefix="0" xfId="0">
      <alignment horizontal="center" vertical="center"/>
    </xf>
    <xf numFmtId="14" fontId="45" fillId="0" borderId="2" applyAlignment="1" pivotButton="0" quotePrefix="0" xfId="0">
      <alignment horizontal="left" vertical="center"/>
    </xf>
    <xf numFmtId="0" fontId="96" fillId="5" borderId="2" applyAlignment="1" pivotButton="0" quotePrefix="0" xfId="0">
      <alignment horizontal="left" vertical="center"/>
    </xf>
    <xf numFmtId="49" fontId="45" fillId="4" borderId="2" applyAlignment="1" pivotButton="0" quotePrefix="0" xfId="0">
      <alignment horizontal="center" vertical="center"/>
    </xf>
    <xf numFmtId="49" fontId="99" fillId="4" borderId="2" applyAlignment="1" pivotButton="0" quotePrefix="0" xfId="0">
      <alignment horizontal="center" vertical="center"/>
    </xf>
    <xf numFmtId="0" fontId="100" fillId="4" borderId="2" applyAlignment="1" pivotButton="0" quotePrefix="0" xfId="0">
      <alignment horizontal="center" vertical="center"/>
    </xf>
    <xf numFmtId="0" fontId="45" fillId="4" borderId="2" applyAlignment="1" pivotButton="0" quotePrefix="0" xfId="0">
      <alignment horizontal="center" vertical="center"/>
    </xf>
    <xf numFmtId="0" fontId="100" fillId="0" borderId="2" applyAlignment="1" pivotButton="0" quotePrefix="0" xfId="0">
      <alignment horizontal="center" vertical="center"/>
    </xf>
    <xf numFmtId="9" fontId="45" fillId="0" borderId="2" applyAlignment="1" pivotButton="0" quotePrefix="0" xfId="14">
      <alignment horizontal="center" vertical="center"/>
    </xf>
    <xf numFmtId="14" fontId="24" fillId="0" borderId="0" applyAlignment="1" pivotButton="0" quotePrefix="0" xfId="0">
      <alignment horizontal="center" vertical="center"/>
    </xf>
    <xf numFmtId="0" fontId="45" fillId="28" borderId="2" applyAlignment="1" pivotButton="0" quotePrefix="0" xfId="0">
      <alignment horizontal="center" vertical="center"/>
    </xf>
    <xf numFmtId="0" fontId="45" fillId="29" borderId="2" applyAlignment="1" pivotButton="0" quotePrefix="0" xfId="0">
      <alignment horizontal="center" vertical="center"/>
    </xf>
    <xf numFmtId="0" fontId="45" fillId="30" borderId="2" applyAlignment="1" pivotButton="0" quotePrefix="0" xfId="0">
      <alignment horizontal="center" vertical="center"/>
    </xf>
    <xf numFmtId="0" fontId="17"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6" fillId="8" borderId="1" applyAlignment="1" pivotButton="0" quotePrefix="0" xfId="24">
      <alignment horizontal="center" vertical="center" wrapText="1"/>
    </xf>
    <xf numFmtId="14" fontId="56" fillId="8" borderId="1" applyAlignment="1" pivotButton="0" quotePrefix="0" xfId="24">
      <alignment horizontal="center" vertical="center" wrapText="1"/>
    </xf>
    <xf numFmtId="0" fontId="16" fillId="0" borderId="2" applyAlignment="1" pivotButton="0" quotePrefix="0" xfId="24">
      <alignment horizontal="center" vertical="center"/>
    </xf>
    <xf numFmtId="0" fontId="0" fillId="0" borderId="2" pivotButton="0" quotePrefix="0" xfId="0"/>
    <xf numFmtId="14" fontId="16" fillId="0" borderId="2" applyAlignment="1" pivotButton="0" quotePrefix="0" xfId="24">
      <alignment horizontal="center" vertical="center"/>
    </xf>
    <xf numFmtId="14" fontId="0" fillId="0" borderId="2" applyAlignment="1" pivotButton="0" quotePrefix="0" xfId="0">
      <alignment vertical="center"/>
    </xf>
    <xf numFmtId="14" fontId="16" fillId="0" borderId="2" applyAlignment="1" pivotButton="0" quotePrefix="0" xfId="0">
      <alignment horizontal="center" vertical="center"/>
    </xf>
    <xf numFmtId="0" fontId="54" fillId="0" borderId="1" applyAlignment="1" pivotButton="0" quotePrefix="0" xfId="0">
      <alignment horizontal="left" vertical="center" wrapText="1"/>
    </xf>
    <xf numFmtId="0" fontId="62" fillId="0" borderId="1" applyAlignment="1" pivotButton="0" quotePrefix="0" xfId="0">
      <alignment horizontal="left" vertical="center" wrapText="1"/>
    </xf>
    <xf numFmtId="14" fontId="33" fillId="0" borderId="2" applyAlignment="1" pivotButton="0" quotePrefix="0" xfId="0">
      <alignment horizontal="center" vertical="center"/>
    </xf>
    <xf numFmtId="14" fontId="45" fillId="7" borderId="2" applyAlignment="1" pivotButton="0" quotePrefix="0" xfId="0">
      <alignment horizontal="center" vertical="center"/>
    </xf>
    <xf numFmtId="0" fontId="15" fillId="0" borderId="0" applyAlignment="1" pivotButton="0" quotePrefix="0" xfId="0">
      <alignment horizontal="center" vertical="center"/>
    </xf>
    <xf numFmtId="0" fontId="15" fillId="12" borderId="6" applyAlignment="1" pivotButton="0" quotePrefix="0" xfId="0">
      <alignment horizontal="center" vertical="center"/>
    </xf>
    <xf numFmtId="0" fontId="15" fillId="0" borderId="6" applyAlignment="1" pivotButton="0" quotePrefix="0" xfId="0">
      <alignment horizontal="left" vertical="center"/>
    </xf>
    <xf numFmtId="0" fontId="14" fillId="12" borderId="6" applyAlignment="1" pivotButton="0" quotePrefix="0" xfId="0">
      <alignment horizontal="center" vertical="center"/>
    </xf>
    <xf numFmtId="0" fontId="13" fillId="0" borderId="1" applyAlignment="1" pivotButton="0" quotePrefix="0" xfId="0">
      <alignment horizontal="left" vertical="center" wrapText="1"/>
    </xf>
    <xf numFmtId="0" fontId="12" fillId="0" borderId="0" pivotButton="0" quotePrefix="0" xfId="0"/>
    <xf numFmtId="0" fontId="49" fillId="0" borderId="2" applyAlignment="1" pivotButton="0" quotePrefix="0" xfId="4">
      <alignment horizontal="center" vertical="center"/>
    </xf>
    <xf numFmtId="0" fontId="49" fillId="0" borderId="2" applyAlignment="1" pivotButton="0" quotePrefix="0" xfId="3">
      <alignment horizontal="center" vertical="center"/>
    </xf>
    <xf numFmtId="0" fontId="49" fillId="0" borderId="2" applyAlignment="1" pivotButton="0" quotePrefix="0" xfId="3">
      <alignment horizontal="left"/>
    </xf>
    <xf numFmtId="0" fontId="49" fillId="0" borderId="2" applyAlignment="1" pivotButton="0" quotePrefix="0" xfId="3">
      <alignment horizontal="left" vertical="center"/>
    </xf>
    <xf numFmtId="0" fontId="49" fillId="7" borderId="9" applyAlignment="1" pivotButton="0" quotePrefix="0" xfId="1">
      <alignment horizontal="center" vertical="center"/>
    </xf>
    <xf numFmtId="0" fontId="49" fillId="7" borderId="2" applyAlignment="1" pivotButton="0" quotePrefix="0" xfId="1">
      <alignment horizontal="center" vertical="center"/>
    </xf>
    <xf numFmtId="0" fontId="49" fillId="0" borderId="2" pivotButton="0" quotePrefix="0" xfId="3"/>
    <xf numFmtId="0" fontId="49" fillId="0" borderId="9" applyAlignment="1" pivotButton="0" quotePrefix="0" xfId="1">
      <alignment vertical="center"/>
    </xf>
    <xf numFmtId="0" fontId="102" fillId="0" borderId="2" applyAlignment="1" pivotButton="0" quotePrefix="0" xfId="6">
      <alignment vertical="center"/>
    </xf>
    <xf numFmtId="0" fontId="101" fillId="10" borderId="6" applyAlignment="1" pivotButton="0" quotePrefix="0" xfId="3">
      <alignment horizontal="center" vertical="center"/>
    </xf>
    <xf numFmtId="0" fontId="49" fillId="4" borderId="6" applyAlignment="1" pivotButton="0" quotePrefix="0" xfId="3">
      <alignment horizontal="center"/>
    </xf>
    <xf numFmtId="0" fontId="12" fillId="24" borderId="6" applyAlignment="1" pivotButton="0" quotePrefix="0" xfId="0">
      <alignment horizontal="center" vertical="center"/>
    </xf>
    <xf numFmtId="0" fontId="103" fillId="4" borderId="6" applyAlignment="1" pivotButton="0" quotePrefix="0" xfId="3">
      <alignment horizontal="center" vertical="center"/>
    </xf>
    <xf numFmtId="14" fontId="49" fillId="0" borderId="2" applyAlignment="1" pivotButton="0" quotePrefix="0" xfId="3">
      <alignment horizontal="center" vertical="center" wrapText="1"/>
    </xf>
    <xf numFmtId="0" fontId="49" fillId="0" borderId="9" pivotButton="0" quotePrefix="0" xfId="3"/>
    <xf numFmtId="0" fontId="49" fillId="0" borderId="2" applyAlignment="1" pivotButton="0" quotePrefix="0" xfId="3">
      <alignment horizontal="center"/>
    </xf>
    <xf numFmtId="0" fontId="101" fillId="12" borderId="6" applyAlignment="1" pivotButton="0" quotePrefix="0" xfId="3">
      <alignment horizontal="center" vertical="center"/>
    </xf>
    <xf numFmtId="14" fontId="45" fillId="0" borderId="2" applyAlignment="1" pivotButton="0" quotePrefix="0" xfId="0">
      <alignment vertical="center"/>
    </xf>
    <xf numFmtId="0" fontId="45" fillId="0" borderId="28" applyAlignment="1" applyProtection="1" pivotButton="0" quotePrefix="0" xfId="0">
      <alignment horizontal="center" vertical="center"/>
      <protection locked="1" hidden="1"/>
    </xf>
    <xf numFmtId="0" fontId="52" fillId="7" borderId="25" applyAlignment="1" applyProtection="1" pivotButton="0" quotePrefix="0" xfId="0">
      <alignment horizontal="center" vertical="center" wrapText="1"/>
      <protection locked="1" hidden="1"/>
    </xf>
    <xf numFmtId="0" fontId="52" fillId="7" borderId="9" applyAlignment="1" applyProtection="1" pivotButton="0" quotePrefix="0" xfId="0">
      <alignment horizontal="center" vertical="center" wrapText="1"/>
      <protection locked="1" hidden="1"/>
    </xf>
    <xf numFmtId="0" fontId="52" fillId="7" borderId="10" applyAlignment="1" applyProtection="1" pivotButton="0" quotePrefix="0" xfId="0">
      <alignment horizontal="center" vertical="center" wrapText="1"/>
      <protection locked="1" hidden="1"/>
    </xf>
    <xf numFmtId="0" fontId="59" fillId="7" borderId="12" applyAlignment="1" pivotButton="0" quotePrefix="0" xfId="0">
      <alignment horizontal="center" vertical="center"/>
    </xf>
    <xf numFmtId="0" fontId="59" fillId="4" borderId="25" applyAlignment="1" pivotButton="0" quotePrefix="0" xfId="0">
      <alignment horizontal="center" vertical="center"/>
    </xf>
    <xf numFmtId="0" fontId="59" fillId="4" borderId="9" applyAlignment="1" pivotButton="0" quotePrefix="0" xfId="0">
      <alignment horizontal="center" vertical="center"/>
    </xf>
    <xf numFmtId="0" fontId="59" fillId="4" borderId="16" applyAlignment="1" pivotButton="0" quotePrefix="0" xfId="0">
      <alignment horizontal="center" vertical="center"/>
    </xf>
    <xf numFmtId="0" fontId="33" fillId="4" borderId="19" applyAlignment="1" applyProtection="1" pivotButton="0" quotePrefix="0" xfId="0">
      <alignment horizontal="center" vertical="center"/>
      <protection locked="1" hidden="1"/>
    </xf>
    <xf numFmtId="0" fontId="33" fillId="4" borderId="20" applyAlignment="1" applyProtection="1" pivotButton="0" quotePrefix="0" xfId="0">
      <alignment horizontal="center" vertical="center"/>
      <protection locked="1" hidden="1"/>
    </xf>
    <xf numFmtId="0" fontId="33" fillId="4" borderId="17" applyAlignment="1" applyProtection="1" pivotButton="0" quotePrefix="0" xfId="0">
      <alignment horizontal="center" vertical="center"/>
      <protection locked="1" hidden="1"/>
    </xf>
    <xf numFmtId="0" fontId="11" fillId="0" borderId="2" applyAlignment="1" pivotButton="0" quotePrefix="0" xfId="25">
      <alignment vertical="center"/>
    </xf>
    <xf numFmtId="0" fontId="11" fillId="0" borderId="2" applyAlignment="1" pivotButton="0" quotePrefix="0" xfId="25">
      <alignment horizontal="left" vertical="center"/>
    </xf>
    <xf numFmtId="0" fontId="11" fillId="0" borderId="2" applyAlignment="1" pivotButton="0" quotePrefix="1" xfId="25">
      <alignment horizontal="left" vertical="center"/>
    </xf>
    <xf numFmtId="0" fontId="11" fillId="12" borderId="2" applyAlignment="1" pivotButton="0" quotePrefix="0" xfId="25">
      <alignment horizontal="left" vertical="center"/>
    </xf>
    <xf numFmtId="14" fontId="0" fillId="0" borderId="0" applyAlignment="1" pivotButton="0" quotePrefix="0" xfId="0">
      <alignment horizontal="center" vertical="center"/>
    </xf>
    <xf numFmtId="14" fontId="10" fillId="0" borderId="0" applyAlignment="1" pivotButton="0" quotePrefix="0" xfId="0">
      <alignment horizontal="center" vertical="center"/>
    </xf>
    <xf numFmtId="0" fontId="10" fillId="0" borderId="0" applyAlignment="1" pivotButton="0" quotePrefix="0" xfId="0">
      <alignment vertical="center"/>
    </xf>
    <xf numFmtId="14" fontId="104" fillId="12" borderId="39" applyAlignment="1" pivotButton="0" quotePrefix="0" xfId="0">
      <alignment horizontal="center" vertical="center"/>
    </xf>
    <xf numFmtId="0" fontId="104" fillId="12" borderId="39" applyAlignment="1" pivotButton="0" quotePrefix="0" xfId="0">
      <alignment horizontal="center" vertical="center"/>
    </xf>
    <xf numFmtId="49" fontId="104" fillId="12" borderId="39" applyAlignment="1" pivotButton="0" quotePrefix="0" xfId="0">
      <alignment horizontal="center" vertical="center"/>
    </xf>
    <xf numFmtId="49" fontId="10" fillId="0" borderId="0" applyAlignment="1" pivotButton="0" quotePrefix="0" xfId="0">
      <alignment vertical="center"/>
    </xf>
    <xf numFmtId="49" fontId="0" fillId="0" borderId="0" applyAlignment="1" pivotButton="0" quotePrefix="0" xfId="0">
      <alignment vertical="center"/>
    </xf>
    <xf numFmtId="49" fontId="10" fillId="0" borderId="2" applyAlignment="1" pivotButton="0" quotePrefix="0" xfId="0">
      <alignment vertical="center"/>
    </xf>
    <xf numFmtId="14" fontId="10" fillId="0" borderId="2" applyAlignment="1" pivotButton="0" quotePrefix="0" xfId="0">
      <alignment horizontal="center" vertical="center"/>
    </xf>
    <xf numFmtId="0" fontId="10" fillId="0" borderId="2" applyAlignment="1" pivotButton="0" quotePrefix="0" xfId="0">
      <alignment vertical="center"/>
    </xf>
    <xf numFmtId="0" fontId="0" fillId="0" borderId="2" applyAlignment="1" pivotButton="0" quotePrefix="0" xfId="0">
      <alignment vertical="center"/>
    </xf>
    <xf numFmtId="0" fontId="9" fillId="0" borderId="2" applyAlignment="1" pivotButton="0" quotePrefix="0" xfId="0">
      <alignment vertical="center"/>
    </xf>
    <xf numFmtId="0" fontId="8" fillId="0" borderId="2" applyAlignment="1" pivotButton="0" quotePrefix="0" xfId="0">
      <alignment vertical="center"/>
    </xf>
    <xf numFmtId="49" fontId="8" fillId="0" borderId="2" applyAlignment="1" pivotButton="0" quotePrefix="0" xfId="0">
      <alignment vertical="center"/>
    </xf>
    <xf numFmtId="0" fontId="7" fillId="0" borderId="2" applyAlignment="1" pivotButton="0" quotePrefix="0" xfId="0">
      <alignment vertical="center"/>
    </xf>
    <xf numFmtId="14" fontId="95" fillId="0" borderId="2" applyAlignment="1" pivotButton="0" quotePrefix="0" xfId="0">
      <alignment horizontal="center" vertical="center"/>
    </xf>
    <xf numFmtId="0" fontId="95" fillId="0" borderId="0" applyAlignment="1" pivotButton="0" quotePrefix="0" xfId="0">
      <alignment vertical="center"/>
    </xf>
    <xf numFmtId="14" fontId="95" fillId="0" borderId="0" applyAlignment="1" pivotButton="0" quotePrefix="0" xfId="0">
      <alignment horizontal="center" vertical="center"/>
    </xf>
    <xf numFmtId="0" fontId="54" fillId="0" borderId="0" applyAlignment="1" pivotButton="0" quotePrefix="0" xfId="0">
      <alignment horizontal="center" vertical="center"/>
    </xf>
    <xf numFmtId="0" fontId="6" fillId="0" borderId="0" applyAlignment="1" pivotButton="0" quotePrefix="0" xfId="0">
      <alignment vertical="center"/>
    </xf>
    <xf numFmtId="0" fontId="32" fillId="0" borderId="18" applyAlignment="1" applyProtection="1" pivotButton="0" quotePrefix="0" xfId="0">
      <alignment horizontal="center" vertical="center"/>
      <protection locked="1" hidden="1"/>
    </xf>
    <xf numFmtId="49" fontId="5" fillId="0" borderId="2" applyAlignment="1" pivotButton="0" quotePrefix="0" xfId="0">
      <alignment vertical="center"/>
    </xf>
    <xf numFmtId="0" fontId="54" fillId="0" borderId="2" applyAlignment="1" pivotButton="0" quotePrefix="0" xfId="0">
      <alignment horizontal="center" vertical="center"/>
    </xf>
    <xf numFmtId="0" fontId="4" fillId="0" borderId="2" applyAlignment="1" pivotButton="0" quotePrefix="0" xfId="0">
      <alignment vertical="center"/>
    </xf>
    <xf numFmtId="0" fontId="33" fillId="0" borderId="2" applyAlignment="1" pivotButton="0" quotePrefix="0" xfId="0">
      <alignment horizontal="center" vertical="center"/>
    </xf>
    <xf numFmtId="0" fontId="45" fillId="22" borderId="25" applyAlignment="1" applyProtection="1" pivotButton="0" quotePrefix="0" xfId="0">
      <alignment horizontal="center" vertical="center"/>
      <protection locked="1" hidden="1"/>
    </xf>
    <xf numFmtId="0" fontId="45" fillId="22" borderId="21" applyAlignment="1" applyProtection="1" pivotButton="0" quotePrefix="0" xfId="0">
      <alignment horizontal="center" vertical="center"/>
      <protection locked="1" hidden="1"/>
    </xf>
    <xf numFmtId="0" fontId="45" fillId="22" borderId="19" applyAlignment="1" applyProtection="1" pivotButton="0" quotePrefix="0" xfId="0">
      <alignment horizontal="center" vertical="center"/>
      <protection locked="1" hidden="1"/>
    </xf>
    <xf numFmtId="0" fontId="45" fillId="22" borderId="2" applyAlignment="1" applyProtection="1" pivotButton="0" quotePrefix="0" xfId="0">
      <alignment horizontal="center" vertical="center"/>
      <protection locked="1" hidden="1"/>
    </xf>
    <xf numFmtId="0" fontId="3" fillId="0" borderId="2" applyAlignment="1" pivotButton="0" quotePrefix="0" xfId="0">
      <alignment vertical="center"/>
    </xf>
    <xf numFmtId="49" fontId="3" fillId="0" borderId="2" applyAlignment="1" pivotButton="0" quotePrefix="0" xfId="0">
      <alignment vertical="center"/>
    </xf>
    <xf numFmtId="0" fontId="2" fillId="0" borderId="2" applyAlignment="1" pivotButton="0" quotePrefix="0" xfId="0">
      <alignment vertical="center"/>
    </xf>
    <xf numFmtId="49" fontId="2" fillId="0" borderId="2" applyAlignment="1" pivotButton="0" quotePrefix="0" xfId="0">
      <alignment vertical="center"/>
    </xf>
    <xf numFmtId="0" fontId="1" fillId="0" borderId="2" applyAlignment="1" pivotButton="0" quotePrefix="0" xfId="0">
      <alignment vertical="center"/>
    </xf>
    <xf numFmtId="49" fontId="1" fillId="0" borderId="2" applyAlignment="1" pivotButton="0" quotePrefix="0" xfId="0">
      <alignment vertical="center"/>
    </xf>
    <xf numFmtId="164" fontId="61"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9" fillId="0" borderId="2" applyAlignment="1" pivotButton="0" quotePrefix="0" xfId="3">
      <alignment horizontal="center" vertical="center"/>
    </xf>
    <xf numFmtId="0" fontId="92"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63" fillId="0" borderId="8" applyAlignment="1" pivotButton="0" quotePrefix="0" xfId="9">
      <alignment horizontal="center" vertical="center"/>
    </xf>
    <xf numFmtId="0" fontId="0" fillId="0" borderId="8" pivotButton="0" quotePrefix="0" xfId="0"/>
    <xf numFmtId="0" fontId="63" fillId="0" borderId="6" applyAlignment="1" pivotButton="0" quotePrefix="0" xfId="9">
      <alignment horizontal="center" vertical="center"/>
    </xf>
    <xf numFmtId="0" fontId="0" fillId="0" borderId="15" pivotButton="0" quotePrefix="0" xfId="0"/>
    <xf numFmtId="164" fontId="61"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9"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2</v>
                </pt>
                <pt idx="1">
                  <v>2</v>
                </pt>
                <pt idx="2">
                  <v>0</v>
                </pt>
                <pt idx="3">
                  <v>4</v>
                </pt>
                <pt idx="4">
                  <v>6</v>
                </pt>
                <pt idx="5">
                  <v>4</v>
                </pt>
                <pt idx="6">
                  <v>9</v>
                </pt>
                <pt idx="7">
                  <v>5</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5</v>
                </pt>
                <pt idx="1">
                  <v>24</v>
                </pt>
                <pt idx="2">
                  <v>18</v>
                </pt>
                <pt idx="3">
                  <v>14</v>
                </pt>
                <pt idx="4">
                  <v>7</v>
                </pt>
                <pt idx="5">
                  <v>10</v>
                </pt>
                <pt idx="6">
                  <v>12</v>
                </pt>
                <pt idx="7">
                  <v>14</v>
                </pt>
                <pt idx="8">
                  <v>3</v>
                </pt>
                <pt idx="9">
                  <v>3</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8</v>
                </pt>
                <pt idx="2">
                  <v>5</v>
                </pt>
                <pt idx="3">
                  <v>11</v>
                </pt>
                <pt idx="4">
                  <v>10</v>
                </pt>
                <pt idx="5">
                  <v>4</v>
                </pt>
                <pt idx="6">
                  <v>17</v>
                </pt>
                <pt idx="7">
                  <v>12</v>
                </pt>
                <pt idx="8">
                  <v>3</v>
                </pt>
                <pt idx="9">
                  <v>1</v>
                </pt>
                <pt idx="10">
                  <v>1</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zoomScale="90" zoomScaleNormal="90" workbookViewId="0">
      <pane ySplit="22" topLeftCell="A23" activePane="bottomLeft" state="frozen"/>
      <selection activeCell="Z18" sqref="Z18"/>
      <selection pane="bottomLeft" activeCell="A23" sqref="A23:AC238"/>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231"/>
    <col width="11.19921875" customWidth="1" style="166" min="232" max="16384"/>
  </cols>
  <sheetData>
    <row r="1" ht="12.6" customHeight="1" s="105">
      <c r="A1" s="157">
        <f>首頁!I4</f>
        <v/>
      </c>
      <c r="B1" s="157">
        <f>首頁!L4</f>
        <v/>
      </c>
      <c r="C1" s="155">
        <f>首頁!A2</f>
        <v/>
      </c>
      <c r="D1" s="155">
        <f>首頁!B2</f>
        <v/>
      </c>
      <c r="E1" s="172">
        <f>首頁!C2</f>
        <v/>
      </c>
      <c r="F1" s="172">
        <f>首頁!D2</f>
        <v/>
      </c>
      <c r="G1" s="169" t="inlineStr">
        <is>
          <t>大榮</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f>
        <v/>
      </c>
      <c r="C3" s="159">
        <f>COUNTIF($D$23:$D$311,C2)-C19-C20</f>
        <v/>
      </c>
      <c r="D3" s="160">
        <f>COUNTIF($D$23:$D$311,D2)-D19-D20</f>
        <v/>
      </c>
      <c r="E3" s="160">
        <f>COUNTIF($D$23:$D$311,E2)-E19-E20</f>
        <v/>
      </c>
      <c r="F3" s="160">
        <f>COUNTIF($D$23:$D$311,F2)-F19-F20</f>
        <v/>
      </c>
      <c r="G3" s="160">
        <f>COUNTIF($D$23:$D$311,G2)-G19-G20</f>
        <v/>
      </c>
      <c r="H3" s="160">
        <f>COUNTIF($D$23:$D$311,H2)-H19-H20</f>
        <v/>
      </c>
      <c r="I3" s="160">
        <f>COUNTIF($D$23:$D$311,I2)-I19-I20</f>
        <v/>
      </c>
      <c r="J3" s="160" t="n"/>
      <c r="K3" s="160">
        <f>COUNTIF($D$23:$D$311,K2)-K19-K20</f>
        <v/>
      </c>
      <c r="L3" s="160">
        <f>COUNTIF($D$23:$D$311,L2)-L19-L20</f>
        <v/>
      </c>
      <c r="M3" s="160">
        <f>COUNTIF($D$23:$D$311,M2)-M19-M20</f>
        <v/>
      </c>
      <c r="N3" s="160">
        <f>COUNTIF($D$23:$D$311,N2)-N19-N20</f>
        <v/>
      </c>
      <c r="O3" s="161">
        <f>COUNTIF($D$23:$D$311,O2)-O19-O20</f>
        <v/>
      </c>
      <c r="P3" s="108" t="n"/>
      <c r="Z3" s="219" t="n"/>
    </row>
    <row r="4" ht="18.6" customHeight="1" s="105">
      <c r="A4" s="272">
        <f>首頁!A2&amp;" 進度"</f>
        <v/>
      </c>
      <c r="B4" s="449">
        <f>B5/(B3-B20)</f>
        <v/>
      </c>
      <c r="C4" s="174">
        <f>C5/(C3-C20)</f>
        <v/>
      </c>
      <c r="D4" s="174">
        <f>D5/(D3-D20)</f>
        <v/>
      </c>
      <c r="E4" s="174">
        <f>E5/(E3-E20)</f>
        <v/>
      </c>
      <c r="F4" s="174">
        <f>F5/(F3-F20)</f>
        <v/>
      </c>
      <c r="G4" s="174">
        <f>G5/(G3-G20)</f>
        <v/>
      </c>
      <c r="H4" s="174">
        <f>H5/(H3-H20)</f>
        <v/>
      </c>
      <c r="I4" s="174">
        <f>I5/(I3-I20)</f>
        <v/>
      </c>
      <c r="J4" s="174" t="n"/>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68" t="inlineStr">
        <is>
          <t>完工數量</t>
        </is>
      </c>
      <c r="B5" s="270">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t="n"/>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69" t="inlineStr">
        <is>
          <t>剩餘門市</t>
        </is>
      </c>
      <c r="B6" s="271">
        <f>SUM(C6:O6)</f>
        <v/>
      </c>
      <c r="C6" s="297">
        <f>IF(C3-C5&lt;0,0,C3-C5)</f>
        <v/>
      </c>
      <c r="D6" s="298">
        <f>IF(D3-D5&lt;0,0,D3-D5)</f>
        <v/>
      </c>
      <c r="E6" s="298">
        <f>IF(E3-E5&lt;0,0,E3-E5)</f>
        <v/>
      </c>
      <c r="F6" s="298">
        <f>IF(F3-F5&lt;0,0,F3-F5)</f>
        <v/>
      </c>
      <c r="G6" s="298">
        <f>IF(G3-G5&lt;0,0,G3-G5)</f>
        <v/>
      </c>
      <c r="H6" s="298">
        <f>IF(H3-H5&lt;0,0,H3-H5)</f>
        <v/>
      </c>
      <c r="I6" s="298">
        <f>IF(I3-I5&lt;0,0,I3-I5)</f>
        <v/>
      </c>
      <c r="J6" s="298" t="n"/>
      <c r="K6" s="298">
        <f>IF(K3-K5&lt;0,0,K3-K5)</f>
        <v/>
      </c>
      <c r="L6" s="298">
        <f>IF(L3-L5&lt;0,0,L3-L5)</f>
        <v/>
      </c>
      <c r="M6" s="298">
        <f>IF(M3-M5&lt;0,0,M3-M5)</f>
        <v/>
      </c>
      <c r="N6" s="298">
        <f>IF(N3-N5&lt;0,0,N3-N5)</f>
        <v/>
      </c>
      <c r="O6" s="299">
        <f>IF(O3-O5&lt;0,0,O3-O5)</f>
        <v/>
      </c>
      <c r="P6" s="298">
        <f>IF(P3-P5&lt;0,0)</f>
        <v/>
      </c>
      <c r="Q6" s="110" t="n"/>
      <c r="R6" s="110" t="n"/>
      <c r="T6" s="110" t="n"/>
      <c r="U6" s="110" t="n"/>
      <c r="V6" s="110" t="n"/>
      <c r="Z6" s="110" t="n"/>
    </row>
    <row r="7" hidden="1" ht="18.6" customHeight="1" s="105">
      <c r="A7" s="273">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t="n"/>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2" t="inlineStr">
        <is>
          <t>完工進度</t>
        </is>
      </c>
      <c r="B8" s="449">
        <f>B9/B7</f>
        <v/>
      </c>
      <c r="C8" s="303">
        <f>C9/C7</f>
        <v/>
      </c>
      <c r="D8" s="304">
        <f>D9/D7</f>
        <v/>
      </c>
      <c r="E8" s="304">
        <f>E9/E7</f>
        <v/>
      </c>
      <c r="F8" s="304">
        <f>F9/F7</f>
        <v/>
      </c>
      <c r="G8" s="304">
        <f>G9/G7</f>
        <v/>
      </c>
      <c r="H8" s="304">
        <f>H9/H7</f>
        <v/>
      </c>
      <c r="I8" s="304">
        <f>I9/I7</f>
        <v/>
      </c>
      <c r="J8" s="304" t="n"/>
      <c r="K8" s="304">
        <f>K9/K7</f>
        <v/>
      </c>
      <c r="L8" s="304">
        <f>L9/L7</f>
        <v/>
      </c>
      <c r="M8" s="304">
        <f>M9/M7</f>
        <v/>
      </c>
      <c r="N8" s="304">
        <f>N9/N7</f>
        <v/>
      </c>
      <c r="O8" s="305">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t="n"/>
      <c r="K9" s="163">
        <f>COUNTIFS($D$23:$D$300,K2,$Q$23:$Q$300,$D$1)</f>
        <v/>
      </c>
      <c r="L9" s="163">
        <f>COUNTIFS($D$23:$D$300,L2,$Q$23:$Q$300,$D$1)</f>
        <v/>
      </c>
      <c r="M9" s="163">
        <f>COUNTIFS($D$23:$D$300,M2,$Q$23:$Q$300,$D$1)</f>
        <v/>
      </c>
      <c r="N9" s="163">
        <f>COUNTIFS($D$23:$D$300,N2,$Q$23:$Q$300,$D$1)</f>
        <v/>
      </c>
      <c r="O9" s="224">
        <f>COUNTIFS($D$23:$D$300,O2,$Q$23:$Q$300,$D$1)</f>
        <v/>
      </c>
      <c r="P9" s="274" t="n"/>
      <c r="Q9" s="216" t="n"/>
      <c r="R9" s="274" t="n"/>
      <c r="S9" s="274" t="n"/>
      <c r="T9" s="274" t="n"/>
      <c r="U9" s="274" t="n"/>
      <c r="V9" s="274" t="n"/>
      <c r="Z9" s="110" t="n"/>
    </row>
    <row r="10" hidden="1" ht="18.6" customFormat="1" customHeight="1" s="167">
      <c r="A10" s="127" t="inlineStr">
        <is>
          <t>剩餘門市</t>
        </is>
      </c>
      <c r="B10" s="126">
        <f>SUM(C10:O10)</f>
        <v/>
      </c>
      <c r="C10" s="297">
        <f>C7-C9</f>
        <v/>
      </c>
      <c r="D10" s="298">
        <f>D7-D9</f>
        <v/>
      </c>
      <c r="E10" s="298">
        <f>E7-E9</f>
        <v/>
      </c>
      <c r="F10" s="298">
        <f>F7-F9</f>
        <v/>
      </c>
      <c r="G10" s="298">
        <f>G7-G9</f>
        <v/>
      </c>
      <c r="H10" s="298">
        <f>H7-H9</f>
        <v/>
      </c>
      <c r="I10" s="298">
        <f>I7-I9</f>
        <v/>
      </c>
      <c r="J10" s="298" t="n"/>
      <c r="K10" s="298">
        <f>K7-K9</f>
        <v/>
      </c>
      <c r="L10" s="298">
        <f>L7-L9</f>
        <v/>
      </c>
      <c r="M10" s="298">
        <f>M7-M9</f>
        <v/>
      </c>
      <c r="N10" s="298">
        <f>N7-N9</f>
        <v/>
      </c>
      <c r="O10" s="299">
        <f>O7-O9</f>
        <v/>
      </c>
      <c r="P10" s="110" t="n"/>
      <c r="Q10" s="110" t="n"/>
      <c r="R10" s="110" t="n"/>
      <c r="S10" s="110" t="n"/>
      <c r="T10" s="110" t="n"/>
      <c r="U10" s="110" t="n"/>
      <c r="V10" s="110" t="n"/>
      <c r="Z10" s="110" t="n"/>
    </row>
    <row r="11" hidden="1" ht="18.6" customHeight="1" s="105">
      <c r="A11" s="273">
        <f>E1</f>
        <v/>
      </c>
      <c r="B11" s="158">
        <f>SUM(C11:O11)</f>
        <v/>
      </c>
      <c r="C11" s="306">
        <f>COUNTIFS('0919門市清單主檔'!$V:$V,C2,'0919門市清單主檔'!$AG:$AG,$E$1)</f>
        <v/>
      </c>
      <c r="D11" s="307">
        <f>COUNTIFS('0919門市清單主檔'!$V:$V,D2,'0919門市清單主檔'!$AG:$AG,$E$1)</f>
        <v/>
      </c>
      <c r="E11" s="307">
        <f>COUNTIFS('0919門市清單主檔'!$V:$V,E2,'0919門市清單主檔'!$AG:$AG,$E$1)</f>
        <v/>
      </c>
      <c r="F11" s="307">
        <f>COUNTIFS('0919門市清單主檔'!$V:$V,F2,'0919門市清單主檔'!$AG:$AG,$E$1)</f>
        <v/>
      </c>
      <c r="G11" s="307">
        <f>COUNTIFS('0919門市清單主檔'!$V:$V,G2,'0919門市清單主檔'!$AG:$AG,$E$1)</f>
        <v/>
      </c>
      <c r="H11" s="307">
        <f>COUNTIFS('0919門市清單主檔'!$V:$V,H2,'0919門市清單主檔'!$AG:$AG,$E$1)</f>
        <v/>
      </c>
      <c r="I11" s="307">
        <f>COUNTIFS('0919門市清單主檔'!$V:$V,I2,'0919門市清單主檔'!$AG:$AG,$E$1)</f>
        <v/>
      </c>
      <c r="J11" s="307" t="n"/>
      <c r="K11" s="307">
        <f>COUNTIFS('0919門市清單主檔'!$V:$V,K2,'0919門市清單主檔'!$AG:$AG,$E$1)</f>
        <v/>
      </c>
      <c r="L11" s="307">
        <f>COUNTIFS('0919門市清單主檔'!$V:$V,L2,'0919門市清單主檔'!$AG:$AG,$E$1)</f>
        <v/>
      </c>
      <c r="M11" s="307">
        <f>COUNTIFS('0919門市清單主檔'!$V:$V,M2,'0919門市清單主檔'!$AG:$AG,$E$1)</f>
        <v/>
      </c>
      <c r="N11" s="307">
        <f>COUNTIFS('0919門市清單主檔'!$V:$V,N2,'0919門市清單主檔'!$AG:$AG,$E$1)</f>
        <v/>
      </c>
      <c r="O11" s="308">
        <f>COUNTIFS('0919門市清單主檔'!$V:$V,O2,'0919門市清單主檔'!$AG:$AG,$E$1)</f>
        <v/>
      </c>
      <c r="P11" s="108" t="n"/>
      <c r="Q11" s="119" t="n"/>
      <c r="R11" s="119" t="n"/>
      <c r="S11" s="119" t="n"/>
      <c r="T11" s="119" t="n"/>
      <c r="U11" s="119" t="n"/>
      <c r="V11" s="119" t="n"/>
      <c r="Z11" s="219" t="n"/>
    </row>
    <row r="12" hidden="1" ht="18.6" customHeight="1" s="105">
      <c r="A12" s="272" t="inlineStr">
        <is>
          <t>完工進度</t>
        </is>
      </c>
      <c r="B12" s="449">
        <f>B13/B11</f>
        <v/>
      </c>
      <c r="C12" s="276">
        <f>C13/C11</f>
        <v/>
      </c>
      <c r="D12" s="300">
        <f>D13/D11</f>
        <v/>
      </c>
      <c r="E12" s="300">
        <f>E13/E11</f>
        <v/>
      </c>
      <c r="F12" s="300">
        <f>F13/F11</f>
        <v/>
      </c>
      <c r="G12" s="300">
        <f>G13/G11</f>
        <v/>
      </c>
      <c r="H12" s="300">
        <f>H13/H11</f>
        <v/>
      </c>
      <c r="I12" s="300">
        <f>I13/I11</f>
        <v/>
      </c>
      <c r="J12" s="300" t="n"/>
      <c r="K12" s="300">
        <f>K13/K11</f>
        <v/>
      </c>
      <c r="L12" s="300">
        <f>L13/L11</f>
        <v/>
      </c>
      <c r="M12" s="300">
        <f>M13/M11</f>
        <v/>
      </c>
      <c r="N12" s="300">
        <f>N13/N11</f>
        <v/>
      </c>
      <c r="O12" s="275">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t="n"/>
      <c r="K13" s="163">
        <f>COUNTIFS($D$23:$D$300,K2,$S$23:$S$300,$E$1)</f>
        <v/>
      </c>
      <c r="L13" s="163">
        <f>COUNTIFS($D$23:$D$300,L2,$S$23:$S$300,$E$1)</f>
        <v/>
      </c>
      <c r="M13" s="163">
        <f>COUNTIFS($D$23:$D$300,M2,$S$23:$S$300,$E$1)</f>
        <v/>
      </c>
      <c r="N13" s="163">
        <f>COUNTIFS($D$23:$D$300,N2,$S$23:$S$300,$E$1)</f>
        <v/>
      </c>
      <c r="O13" s="224">
        <f>COUNTIFS($D$23:$D$300,O2,$S$23:$S$300,$E$1)</f>
        <v/>
      </c>
      <c r="P13" s="274" t="n"/>
      <c r="Q13" s="216" t="n"/>
      <c r="R13" s="274" t="n"/>
      <c r="S13" s="274" t="n"/>
      <c r="T13" s="274" t="n"/>
      <c r="U13" s="274" t="n"/>
      <c r="V13" s="274" t="n"/>
      <c r="Z13" s="110" t="n"/>
    </row>
    <row r="14" hidden="1" ht="18.6" customFormat="1" customHeight="1" s="167">
      <c r="A14" s="127" t="inlineStr">
        <is>
          <t>剩餘門市</t>
        </is>
      </c>
      <c r="B14" s="126">
        <f>SUM(C14:O14)</f>
        <v/>
      </c>
      <c r="C14" s="297">
        <f>C11-C13</f>
        <v/>
      </c>
      <c r="D14" s="298">
        <f>D11-D13</f>
        <v/>
      </c>
      <c r="E14" s="298">
        <f>E11-E13</f>
        <v/>
      </c>
      <c r="F14" s="298">
        <f>F11-F13</f>
        <v/>
      </c>
      <c r="G14" s="298">
        <f>G11-G13</f>
        <v/>
      </c>
      <c r="H14" s="298">
        <f>H11-H13</f>
        <v/>
      </c>
      <c r="I14" s="298">
        <f>I11-I13</f>
        <v/>
      </c>
      <c r="J14" s="298" t="n"/>
      <c r="K14" s="298">
        <f>K11-K13</f>
        <v/>
      </c>
      <c r="L14" s="298">
        <f>L11-L13</f>
        <v/>
      </c>
      <c r="M14" s="298">
        <f>M11-M13</f>
        <v/>
      </c>
      <c r="N14" s="298">
        <f>N11-N13</f>
        <v/>
      </c>
      <c r="O14" s="299">
        <f>O11-O13</f>
        <v/>
      </c>
      <c r="P14" s="287" t="n"/>
      <c r="Q14" s="110" t="n"/>
      <c r="R14" s="110" t="n"/>
      <c r="S14" s="110" t="n"/>
      <c r="T14" s="110" t="n"/>
      <c r="U14" s="110" t="n"/>
      <c r="V14" s="110" t="n"/>
      <c r="Z14" s="110" t="n"/>
    </row>
    <row r="15" ht="18.6" customHeight="1" s="105">
      <c r="A15" s="273">
        <f>F1</f>
        <v/>
      </c>
      <c r="B15" s="158">
        <f>SUM(C15:O15)</f>
        <v/>
      </c>
      <c r="C15" s="306">
        <f>COUNTIFS('0919門市清單主檔'!$V:$V,C2,'0919門市清單主檔'!$AH:$AH,$F$1)</f>
        <v/>
      </c>
      <c r="D15" s="307">
        <f>COUNTIFS('0919門市清單主檔'!$V:$V,D2,'0919門市清單主檔'!$AH:$AH,$F$1)</f>
        <v/>
      </c>
      <c r="E15" s="307">
        <f>COUNTIFS('0919門市清單主檔'!$V:$V,E2,'0919門市清單主檔'!$AH:$AH,$F$1)</f>
        <v/>
      </c>
      <c r="F15" s="307">
        <f>COUNTIFS('0919門市清單主檔'!$V:$V,F2,'0919門市清單主檔'!$AH:$AH,$F$1)</f>
        <v/>
      </c>
      <c r="G15" s="307">
        <f>COUNTIFS('0919門市清單主檔'!$V:$V,G2,'0919門市清單主檔'!$AH:$AH,$F$1)</f>
        <v/>
      </c>
      <c r="H15" s="307">
        <f>COUNTIFS('0919門市清單主檔'!$V:$V,H2,'0919門市清單主檔'!$AH:$AH,$F$1)</f>
        <v/>
      </c>
      <c r="I15" s="307">
        <f>COUNTIFS('0919門市清單主檔'!$V:$V,I2,'0919門市清單主檔'!$AH:$AH,$F$1)</f>
        <v/>
      </c>
      <c r="J15" s="307" t="n"/>
      <c r="K15" s="307">
        <f>COUNTIFS('0919門市清單主檔'!$V:$V,K2,'0919門市清單主檔'!$AH:$AH,$F$1)</f>
        <v/>
      </c>
      <c r="L15" s="307">
        <f>COUNTIFS('0919門市清單主檔'!$V:$V,L2,'0919門市清單主檔'!$AH:$AH,$F$1)</f>
        <v/>
      </c>
      <c r="M15" s="307">
        <f>COUNTIFS('0919門市清單主檔'!$V:$V,M2,'0919門市清單主檔'!$AH:$AH,$F$1)</f>
        <v/>
      </c>
      <c r="N15" s="307">
        <f>COUNTIFS('0919門市清單主檔'!$V:$V,N2,'0919門市清單主檔'!$AH:$AH,$F$1)</f>
        <v/>
      </c>
      <c r="O15" s="308">
        <f>COUNTIFS('0919門市清單主檔'!$V:$V,O2,'0919門市清單主檔'!$AH:$AH,$F$1)</f>
        <v/>
      </c>
      <c r="P15" s="263" t="n"/>
      <c r="Q15" s="119" t="n"/>
      <c r="R15" s="119" t="n"/>
      <c r="S15" s="119" t="n"/>
      <c r="T15" s="119" t="n"/>
      <c r="U15" s="119" t="n"/>
      <c r="V15" s="119" t="n"/>
      <c r="Z15" s="219" t="n"/>
    </row>
    <row r="16" ht="18.6" customHeight="1" s="105">
      <c r="A16" s="301" t="inlineStr">
        <is>
          <t>完工進度</t>
        </is>
      </c>
      <c r="B16" s="449">
        <f>B17/B15</f>
        <v/>
      </c>
      <c r="C16" s="300">
        <f>C17/C15</f>
        <v/>
      </c>
      <c r="D16" s="300">
        <f>D17/D15</f>
        <v/>
      </c>
      <c r="E16" s="300">
        <f>E17/E15</f>
        <v/>
      </c>
      <c r="F16" s="300">
        <f>F17/F15</f>
        <v/>
      </c>
      <c r="G16" s="300">
        <f>G17/G15</f>
        <v/>
      </c>
      <c r="H16" s="300">
        <f>H17/H15</f>
        <v/>
      </c>
      <c r="I16" s="300">
        <f>I17/I15</f>
        <v/>
      </c>
      <c r="J16" s="300" t="n"/>
      <c r="K16" s="300">
        <f>K17/K15</f>
        <v/>
      </c>
      <c r="L16" s="300">
        <f>L17/L15</f>
        <v/>
      </c>
      <c r="M16" s="300">
        <f>M17/M15</f>
        <v/>
      </c>
      <c r="N16" s="300">
        <f>N17/N15</f>
        <v/>
      </c>
      <c r="O16" s="275">
        <f>O17/O15</f>
        <v/>
      </c>
      <c r="P16" s="108" t="n"/>
      <c r="Q16" s="108" t="n"/>
      <c r="R16" s="108" t="n"/>
      <c r="S16" s="108" t="n"/>
      <c r="T16" s="108" t="n"/>
      <c r="U16" s="108" t="n"/>
      <c r="V16" s="108" t="n"/>
      <c r="Z16" s="110" t="n"/>
    </row>
    <row r="17" ht="18.6" customHeight="1" s="105">
      <c r="A17" s="125" t="inlineStr">
        <is>
          <t>完工數量</t>
        </is>
      </c>
      <c r="B17" s="270">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t="n"/>
      <c r="K17" s="163">
        <f>COUNTIFS($D$23:$D$300,K2,$U$23:$U$300,$F$1)</f>
        <v/>
      </c>
      <c r="L17" s="163">
        <f>COUNTIFS($D$23:$D$300,L2,$U$23:$U$300,$F$1)</f>
        <v/>
      </c>
      <c r="M17" s="163">
        <f>COUNTIFS($D$23:$D$300,M2,$U$23:$U$300,$F$1)</f>
        <v/>
      </c>
      <c r="N17" s="163">
        <f>COUNTIFS($D$23:$D$300,N2,$U$23:$U$300,$F$1)</f>
        <v/>
      </c>
      <c r="O17" s="224">
        <f>COUNTIFS($D$23:$D$300,O2,$U$23:$U$300,$F$1)</f>
        <v/>
      </c>
      <c r="P17" s="274" t="n"/>
      <c r="Q17" s="285" t="n"/>
      <c r="R17" s="285" t="n"/>
      <c r="S17" s="285" t="n"/>
      <c r="T17" s="285" t="n"/>
      <c r="U17" s="285" t="n"/>
      <c r="V17" s="285" t="n"/>
      <c r="Z17" s="110" t="n"/>
    </row>
    <row r="18" ht="18.6" customHeight="1" s="105">
      <c r="A18" s="302" t="inlineStr">
        <is>
          <t>剩餘門市</t>
        </is>
      </c>
      <c r="B18" s="271">
        <f>SUM(C18:O18)</f>
        <v/>
      </c>
      <c r="C18" s="298">
        <f>C15-C17</f>
        <v/>
      </c>
      <c r="D18" s="298">
        <f>D15-D17</f>
        <v/>
      </c>
      <c r="E18" s="298">
        <f>E15-E17</f>
        <v/>
      </c>
      <c r="F18" s="298">
        <f>F15-F17</f>
        <v/>
      </c>
      <c r="G18" s="298">
        <f>G15-G17</f>
        <v/>
      </c>
      <c r="H18" s="298">
        <f>H15-H17</f>
        <v/>
      </c>
      <c r="I18" s="298">
        <f>I15-I17</f>
        <v/>
      </c>
      <c r="J18" s="298" t="n"/>
      <c r="K18" s="298">
        <f>K15-K17</f>
        <v/>
      </c>
      <c r="L18" s="298">
        <f>L15-L17</f>
        <v/>
      </c>
      <c r="M18" s="298">
        <f>M15-M17</f>
        <v/>
      </c>
      <c r="N18" s="298">
        <f>N15-N17</f>
        <v/>
      </c>
      <c r="O18" s="299">
        <f>O15-O17</f>
        <v/>
      </c>
      <c r="P18" s="287" t="n"/>
      <c r="Q18" s="286" t="n"/>
      <c r="R18" s="287" t="n"/>
      <c r="S18" s="287" t="n"/>
      <c r="T18" s="287" t="n"/>
      <c r="U18" s="287" t="n"/>
      <c r="V18" s="287" t="n"/>
      <c r="W18" s="167" t="n"/>
      <c r="X18" s="167" t="n"/>
      <c r="Y18" s="167" t="n"/>
      <c r="Z18" s="110" t="n"/>
      <c r="AA18" s="167" t="n"/>
      <c r="AB18" s="167" t="n"/>
      <c r="AC18" s="167" t="n"/>
    </row>
    <row r="19" ht="18.6" customFormat="1" customHeight="1" s="167">
      <c r="A19" s="170" t="inlineStr">
        <is>
          <t>撤店</t>
        </is>
      </c>
      <c r="B19" s="121">
        <f>SUM(C19:O19)</f>
        <v/>
      </c>
      <c r="C19" s="429">
        <f>COUNTIFS($D$23:$D$311,C2,$F$23:$F$311,"*撤店*")</f>
        <v/>
      </c>
      <c r="D19" s="430">
        <f>COUNTIFS($D$23:$D$311,D2,$F$23:$F$311,"*撤店*")</f>
        <v/>
      </c>
      <c r="E19" s="430">
        <f>COUNTIFS($D$23:$D$311,E2,$F$23:$F$311,"*撤店*")</f>
        <v/>
      </c>
      <c r="F19" s="430">
        <f>COUNTIFS($D$23:$D$311,F2,$F$23:$F$311,"*撤店*")</f>
        <v/>
      </c>
      <c r="G19" s="430">
        <f>COUNTIFS($D$23:$D$311,G2,$F$23:$F$311,"*撤店*")</f>
        <v/>
      </c>
      <c r="H19" s="430">
        <f>COUNTIFS($D$23:$D$311,H2,$F$23:$F$311,"*撤店*")</f>
        <v/>
      </c>
      <c r="I19" s="430">
        <f>COUNTIFS($D$23:$D$311,I2,$F$23:$F$311,"*撤店*")</f>
        <v/>
      </c>
      <c r="J19" s="430" t="n"/>
      <c r="K19" s="430">
        <f>COUNTIFS($D$23:$D$311,K2,$F$23:$F$311,"*撤店*")</f>
        <v/>
      </c>
      <c r="L19" s="430">
        <f>COUNTIFS($D$23:$D$311,L2,$F$23:$F$311,"*撤店*")</f>
        <v/>
      </c>
      <c r="M19" s="430">
        <f>COUNTIFS($D$23:$D$311,M2,$F$23:$F$311,"*撤店*")</f>
        <v/>
      </c>
      <c r="N19" s="430">
        <f>COUNTIFS($D$23:$D$311,N2,$F$23:$F$311,"*撤店*")</f>
        <v/>
      </c>
      <c r="O19" s="431">
        <f>COUNTIFS($D$23:$D$311,O2,$F$23:$F$311,"*撤店*")</f>
        <v/>
      </c>
      <c r="P19" s="432">
        <f>COUNTIFS($D$23:$D$311,P2,$F$23:$F$311,"*撤店*")</f>
        <v/>
      </c>
      <c r="Q19" s="110" t="n"/>
      <c r="R19" s="110" t="n"/>
      <c r="S19" s="110" t="n"/>
      <c r="T19" s="110" t="n"/>
      <c r="U19" s="110" t="n"/>
      <c r="V19" s="110" t="n"/>
      <c r="Z19" s="110" t="n"/>
    </row>
    <row r="20" ht="18.6" customFormat="1" customHeight="1" s="167">
      <c r="A20" s="170" t="inlineStr">
        <is>
          <t>新開</t>
        </is>
      </c>
      <c r="B20" s="121">
        <f>SUM(C20:O20)</f>
        <v/>
      </c>
      <c r="C20" s="122">
        <f>COUNTIFS($D$25:$D$308,C2,$F$25:$F$308,"新開")</f>
        <v/>
      </c>
      <c r="D20" s="432">
        <f>COUNTIFS($D$25:$D$308,D2,$F$25:$F$308,"新開")</f>
        <v/>
      </c>
      <c r="E20" s="432">
        <f>COUNTIFS($D$25:$D$308,E2,$F$25:$F$308,"新開")</f>
        <v/>
      </c>
      <c r="F20" s="432">
        <f>COUNTIFS($D$25:$D$308,F2,$F$25:$F$308,"新開")</f>
        <v/>
      </c>
      <c r="G20" s="432">
        <f>COUNTIFS($D$25:$D$308,G2,$F$25:$F$308,"新開")</f>
        <v/>
      </c>
      <c r="H20" s="432">
        <f>COUNTIFS($D$25:$D$308,H2,$F$25:$F$308,"新開")</f>
        <v/>
      </c>
      <c r="I20" s="432">
        <f>COUNTIFS($D$25:$D$308,I2,$F$25:$F$308,"新開")</f>
        <v/>
      </c>
      <c r="J20" s="432" t="n"/>
      <c r="K20" s="432">
        <f>COUNTIFS($D$25:$D$308,K2,$F$25:$F$308,"新開")</f>
        <v/>
      </c>
      <c r="L20" s="432">
        <f>COUNTIFS($D$25:$D$308,L2,$F$25:$F$308,"新開")</f>
        <v/>
      </c>
      <c r="M20" s="432">
        <f>COUNTIFS($D$25:$D$308,M2,$F$25:$F$308,"新開")</f>
        <v/>
      </c>
      <c r="N20" s="432">
        <f>COUNTIFS($D$25:$D$308,N2,$F$25:$F$308,"新開")</f>
        <v/>
      </c>
      <c r="O20" s="123">
        <f>COUNTIFS($D$25:$D$308,O2,$F$25:$F$308,"新開")</f>
        <v/>
      </c>
      <c r="P20" s="110" t="n"/>
      <c r="Q20" s="110" t="n"/>
      <c r="R20" s="110" t="n"/>
      <c r="S20" s="110" t="n"/>
      <c r="T20" s="110" t="n"/>
      <c r="U20" s="110" t="n"/>
      <c r="V20" s="110" t="n"/>
      <c r="Z20" s="110" t="n"/>
    </row>
    <row r="21" ht="18.6" customFormat="1" customHeight="1" s="167">
      <c r="A21" s="171" t="inlineStr">
        <is>
          <t>萊到店</t>
        </is>
      </c>
      <c r="B21" s="124">
        <f>SUM(C21:O21)</f>
        <v/>
      </c>
      <c r="C21" s="264">
        <f>COUNTIFS($G$25:$G$311,"*萊到店*",$D$25:$D$311,C2)</f>
        <v/>
      </c>
      <c r="D21" s="265">
        <f>COUNTIFS($G$25:$G$311,"*萊到店*",$D$25:$D$311,D2)</f>
        <v/>
      </c>
      <c r="E21" s="265">
        <f>COUNTIFS($G$25:$G$311,"*萊到店*",$D$25:$D$311,E2)</f>
        <v/>
      </c>
      <c r="F21" s="265">
        <f>COUNTIFS($G$25:$G$311,"*萊到店*",$D$25:$D$311,F2)</f>
        <v/>
      </c>
      <c r="G21" s="265">
        <f>COUNTIFS($G$25:$G$311,"*萊到店*",$D$25:$D$311,G2)</f>
        <v/>
      </c>
      <c r="H21" s="265">
        <f>COUNTIFS($G$25:$G$311,"*萊到店*",$D$25:$D$311,H2)</f>
        <v/>
      </c>
      <c r="I21" s="265">
        <f>COUNTIFS($G$25:$G$311,"*萊到店*",$D$25:$D$311,I2)</f>
        <v/>
      </c>
      <c r="J21" s="266" t="n"/>
      <c r="K21" s="265">
        <f>COUNTIFS($G$25:$G$311,"*萊到店*",$D$25:$D$311,K2)</f>
        <v/>
      </c>
      <c r="L21" s="265">
        <f>COUNTIFS($G$25:$G$311,"*萊到店*",$D$25:$D$311,L2)</f>
        <v/>
      </c>
      <c r="M21" s="265">
        <f>COUNTIFS($G$25:$G$311,"*萊到店*",$D$25:$D$311,M2)</f>
        <v/>
      </c>
      <c r="N21" s="265">
        <f>COUNTIFS($G$25:$G$311,"*萊到店*",$D$25:$D$311,N2)</f>
        <v/>
      </c>
      <c r="O21" s="267">
        <f>COUNTIFS($G$25:$G$311,"*萊到店*",$D$25:$D$311,O2)</f>
        <v/>
      </c>
      <c r="P21" s="110" t="n"/>
      <c r="Q21" s="110" t="n"/>
      <c r="R21" s="110" t="n"/>
      <c r="S21" s="110" t="n"/>
      <c r="T21" s="110" t="n"/>
      <c r="U21" s="110" t="n"/>
      <c r="V21" s="110" t="n"/>
      <c r="Z21" s="110" t="n"/>
    </row>
    <row r="22" ht="34.8" customFormat="1" customHeight="1" s="293">
      <c r="A22" s="277" t="inlineStr">
        <is>
          <t>門市編號</t>
        </is>
      </c>
      <c r="B22" s="277" t="inlineStr">
        <is>
          <t>門市名稱</t>
        </is>
      </c>
      <c r="C22" s="277" t="inlineStr">
        <is>
          <t>縣市別</t>
        </is>
      </c>
      <c r="D22" s="277" t="inlineStr">
        <is>
          <t>鄉鎮市區</t>
        </is>
      </c>
      <c r="E22" s="277" t="inlineStr">
        <is>
          <t>工程師</t>
        </is>
      </c>
      <c r="F22" s="277" t="inlineStr">
        <is>
          <t>門市狀態</t>
        </is>
      </c>
      <c r="G22" s="277" t="inlineStr">
        <is>
          <t>門市屬性</t>
        </is>
      </c>
      <c r="H22" s="277" t="inlineStr">
        <is>
          <t>保養單</t>
        </is>
      </c>
      <c r="I22" s="289" t="inlineStr">
        <is>
          <t>PMQ_
檢核</t>
        </is>
      </c>
      <c r="J22" s="310" t="inlineStr">
        <is>
          <t>完工檢核2</t>
        </is>
      </c>
      <c r="K22" s="311" t="inlineStr">
        <is>
          <t>iM筆數</t>
        </is>
      </c>
      <c r="L22" s="289" t="inlineStr">
        <is>
          <t>iMainte</t>
        </is>
      </c>
      <c r="M22" s="289" t="inlineStr">
        <is>
          <t>專案檢核</t>
        </is>
      </c>
      <c r="N22" s="289" t="inlineStr">
        <is>
          <t>HUB</t>
        </is>
      </c>
      <c r="O22" s="289" t="inlineStr">
        <is>
          <t>完工檢核</t>
        </is>
      </c>
      <c r="P22" s="290"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28" t="inlineStr">
        <is>
          <t>數量</t>
        </is>
      </c>
      <c r="X22" s="328" t="inlineStr">
        <is>
          <t>發票機
維修更換</t>
        </is>
      </c>
      <c r="Y22" s="328" t="inlineStr">
        <is>
          <t>數量修正</t>
        </is>
      </c>
      <c r="Z22" s="328" t="inlineStr">
        <is>
          <t>HUB</t>
        </is>
      </c>
      <c r="AA22" s="291" t="inlineStr">
        <is>
          <t>發票機1</t>
        </is>
      </c>
      <c r="AB22" s="291" t="inlineStr">
        <is>
          <t>發票機2</t>
        </is>
      </c>
      <c r="AC22" s="292" t="inlineStr">
        <is>
          <t>專案</t>
        </is>
      </c>
      <c r="AD22" s="293">
        <f>COUNTIF(AC:AC,"STAR")</f>
        <v/>
      </c>
    </row>
    <row r="23" ht="21.6" customFormat="1" customHeight="1" s="167">
      <c r="A23" s="278" t="n">
        <v>2349</v>
      </c>
      <c r="B23" s="278">
        <f>VLOOKUP(A23,'0919門市清單主檔'!B:C,2,FALSE)</f>
        <v/>
      </c>
      <c r="C23" s="279">
        <f>VLOOKUP($A23,'0919門市清單主檔'!B:V,20,FALSE)</f>
        <v/>
      </c>
      <c r="D23" s="279">
        <f>VLOOKUP($A23,'0919門市清單主檔'!B:V,21,FALSE)</f>
        <v/>
      </c>
      <c r="E23" s="280">
        <f>VLOOKUP(D23,門市狀態!G:H,2,FALSE)</f>
        <v/>
      </c>
      <c r="F23" s="278">
        <f>IFERROR(IF(VLOOKUP(A23,門市狀態!A:D,4,FALSE)=0,"",VLOOKUP(A23,門市狀態!A:D,4,FALSE)),"")</f>
        <v/>
      </c>
      <c r="G23" s="281" t="n"/>
      <c r="H23" s="309">
        <f>IF(I23&gt;0,(TEXT(I23,"yyyymmdd")&amp;$T$2&amp;A23&amp;$T$2&amp;B23&amp;$Q$2),"")</f>
        <v/>
      </c>
      <c r="I23" s="135">
        <f t="array" ref="I23">IF(AND(SUMPRODUCT((IM!$F$2:$F$1181=A23)*(ISNUMBER(SEARCH($C$1, IM!$AC$2:$AC$1181))))&gt;0), $C$1, "")</f>
        <v/>
      </c>
      <c r="J23" s="313">
        <f t="array" ref="J23">IFERROR(INDEX(IM!$AM$2:$AM$9333, MATCH(1, (IM!$F$2:$F$9333=A23) * (ISNUMBER(SEARCH($C$1, IM!$AC$2:$AC$9333))), 0)), "")</f>
        <v/>
      </c>
      <c r="K23" s="315">
        <f t="array" ref="K23">SUMPRODUCT((IM!$F$2:$F$9181=A23)*(IM!$AD$2:$AD$9181="O")*(ISNUMBER(SEARCH($C$1, IM!$AC$2:$AC$9181))))</f>
        <v/>
      </c>
      <c r="L23" s="329">
        <f t="array" ref="L23">IF(K23&gt;0,IFERROR(HYPERLINK("#'IM'!AC"&amp;MATCH(1,(IM!$F$1:$F$6881=A23)*(ISNUMBER(SEARCH($C$1,IM!$AC$1:$AC$6881))),0),"檢核"),"未登錄"),"")</f>
        <v/>
      </c>
      <c r="M23" s="393">
        <f>Q23&amp;IF(AND(S23&lt;&gt;"",AND(Q23&lt;&gt;"")),$P$2,"")&amp;S23&amp;IF(U23&lt;&gt;"",$P$2,"")&amp;U23</f>
        <v/>
      </c>
      <c r="N23" s="318">
        <f t="array" ref="N23">IF(AND(
    SUMPRODUCT(
        (IM!$F$2:$F$1181=A23) *
        ISNUMBER(SEARCH("*HUB*", IM!$AC$2:$AC$1181)) *
        (IM!$X$2:$X$1181&gt;=$A$1) *
        (IM!$X$2:$X$1181&lt;=$B$1)*(Z23="HUB")
    ) &gt; 0
), "HUB", "")</f>
        <v/>
      </c>
      <c r="O23" s="396">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4">
        <f>(TEXT(I23,"yyyymmdd"))&amp;$T$2&amp;A23&amp;$T$2&amp;B23&amp;$Q$2</f>
        <v/>
      </c>
      <c r="Q23" s="322">
        <f t="array" ref="Q23">IF(AND(SUMPRODUCT((IM!$F$2:$F$1181=A23)*(ISNUMBER(SEARCH($D$1, IM!$AC$2:$AC$1181))))&gt;0), $D$1, "")</f>
        <v/>
      </c>
      <c r="R23" s="323">
        <f t="array" ref="R23">IFERROR(INDEX(IM!$AM$2:$AM$9382, MATCH(1, (IM!$F$2:$F$9382=A23) * (ISNUMBER(SEARCH($D$1, IM!$AC$2:$AC$9382))), 0)), "")</f>
        <v/>
      </c>
      <c r="S23" s="324">
        <f t="array" ref="S23">IF(AND(SUMPRODUCT((IM!$F$2:$F$1181=A23)*(ISNUMBER(SEARCH($E$1, IM!$AC$2:$AC$1181))))&gt;0), $E$1, "")</f>
        <v/>
      </c>
      <c r="T23" s="323">
        <f t="array" ref="T23">IFERROR(INDEX(IM!$AM$2:$AM$9382, MATCH(1, (IM!$F$2:$F$9382=A23) * (ISNUMBER(SEARCH($E$1, IM!$AC$2:$AC$9382))), 0)), "")</f>
        <v/>
      </c>
      <c r="U23" s="324">
        <f t="array" ref="U23">IF(AND(SUMPRODUCT((IM!$F$2:$F$1181=A23)*(ISNUMBER(SEARCH($F$1, IM!$AC$2:$AC$1181))))&gt;0), $F$1, "")</f>
        <v/>
      </c>
      <c r="V23" s="321">
        <f t="array" ref="V23">IFERROR(INDEX(IM!$AM$2:$AM$9382, MATCH(1, (IM!$F$2:$F$9382=A23) * (ISNUMBER(SEARCH($F$1, IM!$AC$2:$AC$9382))), 0)), "")</f>
        <v/>
      </c>
      <c r="W23" s="262">
        <f>IF(AND(AA23&lt;&gt;"", AB23&lt;&gt;""), 2, IF(OR(AA23&lt;&gt;"", AB23&lt;&gt;""), 1, 0))</f>
        <v/>
      </c>
      <c r="X23" s="262" t="n"/>
      <c r="Y23" s="389">
        <f>IF(OR(S23="STAR", W23="", X23=""), W23,
"總數：" &amp; W23 &amp; CHAR(10) &amp;
"已維修：" &amp; X23 &amp; CHAR(10) &amp;
"未更換：" &amp; (W23 - X23))</f>
        <v/>
      </c>
      <c r="Z23" s="220">
        <f>IF(VLOOKUP(A23,'0919門市清單主檔'!B:AC,28,FALSE)=0,"",VLOOKUP(A23,'0919門市清單主檔'!B:AC,28,FALSE))</f>
        <v/>
      </c>
      <c r="AA23" s="326"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0">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4">
        <f t="array" ref="J24">IFERROR(INDEX(IM!$AM$2:$AM$9333, MATCH(1, (IM!$F$2:$F$9333=A24) * (ISNUMBER(SEARCH($C$1, IM!$AC$2:$AC$9333))), 0)), "")</f>
        <v/>
      </c>
      <c r="K24" s="316">
        <f t="array" ref="K24">SUMPRODUCT((IM!$F$2:$F$9181=A24)*(IM!$AD$2:$AD$9181="O")*(ISNUMBER(SEARCH($C$1, IM!$AC$2:$AC$9181))))</f>
        <v/>
      </c>
      <c r="L24" s="330">
        <f t="array" ref="L24">IF(K24&gt;0,IFERROR(HYPERLINK("#'IM'!AC"&amp;MATCH(1,(IM!$F$1:$F$6881=A24)*(ISNUMBER(SEARCH($C$1,IM!$AC$1:$AC$6881))),0),"檢核"),"未登錄"),"")</f>
        <v/>
      </c>
      <c r="M24" s="394">
        <f>Q24&amp;IF(AND(S24&lt;&gt;"",AND(Q24&lt;&gt;"")),$P$2,"")&amp;S24&amp;IF(U24&lt;&gt;"",$P$2,"")&amp;U24</f>
        <v/>
      </c>
      <c r="N24" s="283">
        <f t="array" ref="N24">IF(AND(
    SUMPRODUCT(
        (IM!$F$2:$F$1181=A24) *
        ISNUMBER(SEARCH("*HUB*", IM!$AC$2:$AC$1181)) *
        (IM!$X$2:$X$1181&gt;=$A$1) *
        (IM!$X$2:$X$1181&lt;=$B$1)*(Z24="HUB")
    ) &gt; 0
), "HUB", "")</f>
        <v/>
      </c>
      <c r="O24" s="397">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0">
        <f>(TEXT(I24,"yyyymmdd"))&amp;$T$2&amp;A24&amp;$T$2&amp;B24&amp;$Q$2</f>
        <v/>
      </c>
      <c r="Q24" s="322">
        <f t="array" ref="Q24">IF(AND(SUMPRODUCT((IM!$F$2:$F$1181=A24)*(ISNUMBER(SEARCH($D$1, IM!$AC$2:$AC$1181))))&gt;0), $D$1, "")</f>
        <v/>
      </c>
      <c r="R24" s="323">
        <f t="array" ref="R24">IFERROR(INDEX(IM!$AM$2:$AM$9382, MATCH(1, (IM!$F$2:$F$9382=A24) * (ISNUMBER(SEARCH($D$1, IM!$AC$2:$AC$9382))), 0)), "")</f>
        <v/>
      </c>
      <c r="S24" s="324">
        <f t="array" ref="S24">IF(AND(SUMPRODUCT((IM!$F$2:$F$1181=A24)*(ISNUMBER(SEARCH($E$1, IM!$AC$2:$AC$1181))))&gt;0), $E$1, "")</f>
        <v/>
      </c>
      <c r="T24" s="323">
        <f t="array" ref="T24">IFERROR(INDEX(IM!$AM$2:$AM$9382, MATCH(1, (IM!$F$2:$F$9382=A24) * (ISNUMBER(SEARCH($E$1, IM!$AC$2:$AC$9382))), 0)), "")</f>
        <v/>
      </c>
      <c r="U24" s="324">
        <f t="array" ref="U24">IF(AND(SUMPRODUCT((IM!$F$2:$F$1181=A24)*(ISNUMBER(SEARCH($F$1, IM!$AC$2:$AC$1181))))&gt;0), $F$1, "")</f>
        <v/>
      </c>
      <c r="V24" s="325">
        <f t="array" ref="V24">IFERROR(INDEX(IM!$AM$2:$AM$9382, MATCH(1, (IM!$F$2:$F$9382=A24) * (ISNUMBER(SEARCH($F$1, IM!$AC$2:$AC$9382))), 0)), "")</f>
        <v/>
      </c>
      <c r="W24" s="228">
        <f>IF(AND(AA24&lt;&gt;"", AB24&lt;&gt;""), 2, IF(OR(AA24&lt;&gt;"", AB24&lt;&gt;""), 1, 0))</f>
        <v/>
      </c>
      <c r="X24" s="228" t="n"/>
      <c r="Y24" s="390">
        <f>IF(OR(S24="STAR", W24="", X24=""), W24,
"總數：" &amp; W24 &amp; CHAR(10) &amp;
"已維修：" &amp; X24 &amp; CHAR(10) &amp;
"未更換：" &amp; (W24 - X24))</f>
        <v/>
      </c>
      <c r="Z24" s="221">
        <f>IF(VLOOKUP(A24,'0919門市清單主檔'!B:AC,28,FALSE)=0,"",VLOOKUP(A24,'0919門市清單主檔'!B:AC,28,FALSE))</f>
        <v/>
      </c>
      <c r="AA24" s="327" t="n"/>
      <c r="AB24" s="288" t="n"/>
      <c r="AC24" s="167" t="inlineStr">
        <is>
          <t>STAR</t>
        </is>
      </c>
      <c r="AD24" s="166">
        <f>COUNTIF(AC:AC,"STAR")</f>
        <v/>
      </c>
    </row>
    <row r="25" ht="21.6" customHeight="1" s="105">
      <c r="A25" s="294" t="n">
        <v>4191</v>
      </c>
      <c r="B25" s="129">
        <f>VLOOKUP(A25,'0919門市清單主檔'!B:C,2,FALSE)</f>
        <v/>
      </c>
      <c r="C25" s="130">
        <f>VLOOKUP($A25,'0919門市清單主檔'!B:V,20,FALSE)</f>
        <v/>
      </c>
      <c r="D25" s="131">
        <f>VLOOKUP($A25,'0919門市清單主檔'!B:V,21,FALSE)</f>
        <v/>
      </c>
      <c r="E25" s="280">
        <f>VLOOKUP(D25,門市狀態!G:H,2,FALSE)</f>
        <v/>
      </c>
      <c r="F25" s="132">
        <f>IFERROR(IF(VLOOKUP(A25,門市狀態!A:D,4,FALSE)=0,"",VLOOKUP(A25,門市狀態!A:D,4,FALSE)),"")</f>
        <v/>
      </c>
      <c r="G25" s="295" t="n"/>
      <c r="H25" s="296">
        <f>IF(I25&gt;0,(TEXT(I25,"yyyymmdd")&amp;$T$2&amp;A25&amp;$T$2&amp;B25&amp;$Q$2),"")</f>
        <v/>
      </c>
      <c r="I25" s="136">
        <f t="array" ref="I25">IF(AND(SUMPRODUCT((IM!$F$2:$F$1181=A25)*(ISNUMBER(SEARCH($C$1, IM!$AC$2:$AC$1181))))&gt;0), $C$1, "")</f>
        <v/>
      </c>
      <c r="J25" s="314">
        <f t="array" ref="J25">IFERROR(INDEX(IM!$AM$2:$AM$9333, MATCH(1, (IM!$F$2:$F$9333=A25) * (ISNUMBER(SEARCH($C$1, IM!$AC$2:$AC$9333))), 0)), "")</f>
        <v/>
      </c>
      <c r="K25" s="316">
        <f t="array" ref="K25">SUMPRODUCT((IM!$F$2:$F$9181=A25)*(IM!$AD$2:$AD$9181="O")*(ISNUMBER(SEARCH($C$1, IM!$AC$2:$AC$9181))))</f>
        <v/>
      </c>
      <c r="L25" s="330">
        <f t="array" ref="L25">IF(K25&gt;0,IFERROR(HYPERLINK("#'IM'!AC"&amp;MATCH(1,(IM!$F$1:$F$6881=A25)*(ISNUMBER(SEARCH($C$1,IM!$AC$1:$AC$6881))),0),"檢核"),"未登錄"),"")</f>
        <v/>
      </c>
      <c r="M25" s="394">
        <f>Q25&amp;IF(AND(S25&lt;&gt;"",AND(Q25&lt;&gt;"")),$P$2,"")&amp;S25&amp;IF(U25&lt;&gt;"",$P$2,"")&amp;U25</f>
        <v/>
      </c>
      <c r="N25" s="283">
        <f t="array" ref="N25">IF(AND(
    SUMPRODUCT(
        (IM!$F$2:$F$1181=A25) *
        ISNUMBER(SEARCH("*HUB*", IM!$AC$2:$AC$1181)) *
        (IM!$X$2:$X$1181&gt;=$A$1) *
        (IM!$X$2:$X$1181&lt;=$B$1)*(Z25="HUB")
    ) &gt; 0
), "HUB", "")</f>
        <v/>
      </c>
      <c r="O25" s="397">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5">
        <f t="array" ref="V25">IFERROR(INDEX(IM!$AM$2:$AM$9382, MATCH(1, (IM!$F$2:$F$9382=A25) * (ISNUMBER(SEARCH($F$1, IM!$AC$2:$AC$9382))), 0)), "")</f>
        <v/>
      </c>
      <c r="W25" s="228">
        <f>IF(AND(AA25&lt;&gt;"", AB25&lt;&gt;""), 2, IF(OR(AA25&lt;&gt;"", AB25&lt;&gt;""), 1, 0))</f>
        <v/>
      </c>
      <c r="X25" s="228" t="n"/>
      <c r="Y25" s="390">
        <f>IF(OR(S25="STAR", W25="", X25=""), W25,
"總數：" &amp; W25 &amp; CHAR(10) &amp;
"已維修：" &amp; X25 &amp; CHAR(10) &amp;
"未更換：" &amp; (W25 - X25))</f>
        <v/>
      </c>
      <c r="Z25" s="221">
        <f>IF(VLOOKUP(A25,'0919門市清單主檔'!B:AC,28,FALSE)=0,"",VLOOKUP(A25,'0919門市清單主檔'!B:AC,28,FALSE))</f>
        <v/>
      </c>
      <c r="AA25" s="326" t="n"/>
      <c r="AB25" s="428"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0">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4">
        <f t="array" ref="J26">IFERROR(INDEX(IM!$AM$2:$AM$9333, MATCH(1, (IM!$F$2:$F$9333=A26) * (ISNUMBER(SEARCH($C$1, IM!$AC$2:$AC$9333))), 0)), "")</f>
        <v/>
      </c>
      <c r="K26" s="316">
        <f t="array" ref="K26">SUMPRODUCT((IM!$F$2:$F$9181=A26)*(IM!$AD$2:$AD$9181="O")*(ISNUMBER(SEARCH($C$1, IM!$AC$2:$AC$9181))))</f>
        <v/>
      </c>
      <c r="L26" s="330">
        <f t="array" ref="L26">IF(K26&gt;0,IFERROR(HYPERLINK("#'IM'!AC"&amp;MATCH(1,(IM!$F$1:$F$6881=A26)*(ISNUMBER(SEARCH($C$1,IM!$AC$1:$AC$6881))),0),"檢核"),"未登錄"),"")</f>
        <v/>
      </c>
      <c r="M26" s="394">
        <f>Q26&amp;IF(AND(S26&lt;&gt;"",AND(Q26&lt;&gt;"")),$P$2,"")&amp;S26&amp;IF(U26&lt;&gt;"",$P$2,"")&amp;U26</f>
        <v/>
      </c>
      <c r="N26" s="283">
        <f t="array" ref="N26">IF(AND(
    SUMPRODUCT(
        (IM!$F$2:$F$1181=A26) *
        ISNUMBER(SEARCH("*HUB*", IM!$AC$2:$AC$1181)) *
        (IM!$X$2:$X$1181&gt;=$A$1) *
        (IM!$X$2:$X$1181&lt;=$B$1)*(Z26="HUB")
    ) &gt; 0
), "HUB", "")</f>
        <v/>
      </c>
      <c r="O26" s="397">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4">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5">
        <f t="array" ref="V26">IFERROR(INDEX(IM!$AM$2:$AM$9382, MATCH(1, (IM!$F$2:$F$9382=A26) * (ISNUMBER(SEARCH($F$1, IM!$AC$2:$AC$9382))), 0)), "")</f>
        <v/>
      </c>
      <c r="W26" s="228">
        <f>IF(AND(AA26&lt;&gt;"", AB26&lt;&gt;""), 2, IF(OR(AA26&lt;&gt;"", AB26&lt;&gt;""), 1, 0))</f>
        <v/>
      </c>
      <c r="X26" s="228" t="n"/>
      <c r="Y26" s="390">
        <f>IF(OR(S26="STAR", W26="", X26=""), W26,
"總數：" &amp; W26 &amp; CHAR(10) &amp;
"已維修：" &amp; X26 &amp; CHAR(10) &amp;
"未更換：" &amp; (W26 - X26))</f>
        <v/>
      </c>
      <c r="Z26" s="221">
        <f>IF(VLOOKUP(A26,'0919門市清單主檔'!B:AC,28,FALSE)=0,"",VLOOKUP(A26,'0919門市清單主檔'!B:AC,28,FALSE))</f>
        <v/>
      </c>
      <c r="AA26" s="326"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0">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4">
        <f t="array" ref="J27">IFERROR(INDEX(IM!$AM$2:$AM$9333, MATCH(1, (IM!$F$2:$F$9333=A27) * (ISNUMBER(SEARCH($C$1, IM!$AC$2:$AC$9333))), 0)), "")</f>
        <v/>
      </c>
      <c r="K27" s="316">
        <f t="array" ref="K27">SUMPRODUCT((IM!$F$2:$F$9181=A27)*(IM!$AD$2:$AD$9181="O")*(ISNUMBER(SEARCH($C$1, IM!$AC$2:$AC$9181))))</f>
        <v/>
      </c>
      <c r="L27" s="330">
        <f t="array" ref="L27">IF(K27&gt;0,IFERROR(HYPERLINK("#'IM'!AC"&amp;MATCH(1,(IM!$F$1:$F$6881=A27)*(ISNUMBER(SEARCH($C$1,IM!$AC$1:$AC$6881))),0),"檢核"),"未登錄"),"")</f>
        <v/>
      </c>
      <c r="M27" s="394">
        <f>Q27&amp;IF(AND(S27&lt;&gt;"",AND(Q27&lt;&gt;"")),$P$2,"")&amp;S27&amp;IF(U27&lt;&gt;"",$P$2,"")&amp;U27</f>
        <v/>
      </c>
      <c r="N27" s="283">
        <f t="array" ref="N27">IF(AND(
    SUMPRODUCT(
        (IM!$F$2:$F$1181=A27) *
        ISNUMBER(SEARCH("*HUB*", IM!$AC$2:$AC$1181)) *
        (IM!$X$2:$X$1181&gt;=$A$1) *
        (IM!$X$2:$X$1181&lt;=$B$1)*(Z27="HUB")
    ) &gt; 0
), "HUB", "")</f>
        <v/>
      </c>
      <c r="O27" s="397">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4">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5">
        <f t="array" ref="V27">IFERROR(INDEX(IM!$AM$2:$AM$9382, MATCH(1, (IM!$F$2:$F$9382=A27) * (ISNUMBER(SEARCH($F$1, IM!$AC$2:$AC$9382))), 0)), "")</f>
        <v/>
      </c>
      <c r="W27" s="228">
        <f>IF(AND(AA27&lt;&gt;"", AB27&lt;&gt;""), 2, IF(OR(AA27&lt;&gt;"", AB27&lt;&gt;""), 1, 0))</f>
        <v/>
      </c>
      <c r="X27" s="228" t="n"/>
      <c r="Y27" s="390">
        <f>IF(OR(S27="STAR", W27="", X27=""), W27,
"總數：" &amp; W27 &amp; CHAR(10) &amp;
"已維修：" &amp; X27 &amp; CHAR(10) &amp;
"未更換：" &amp; (W27 - X27))</f>
        <v/>
      </c>
      <c r="Z27" s="221">
        <f>IF(VLOOKUP(A27,'0919門市清單主檔'!B:AC,28,FALSE)=0,"",VLOOKUP(A27,'0919門市清單主檔'!B:AC,28,FALSE))</f>
        <v/>
      </c>
      <c r="AA27" s="326"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0">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4">
        <f t="array" ref="J28">IFERROR(INDEX(IM!$AM$2:$AM$9333, MATCH(1, (IM!$F$2:$F$9333=A28) * (ISNUMBER(SEARCH($C$1, IM!$AC$2:$AC$9333))), 0)), "")</f>
        <v/>
      </c>
      <c r="K28" s="316">
        <f t="array" ref="K28">SUMPRODUCT((IM!$F$2:$F$9181=A28)*(IM!$AD$2:$AD$9181="O")*(ISNUMBER(SEARCH($C$1, IM!$AC$2:$AC$9181))))</f>
        <v/>
      </c>
      <c r="L28" s="330">
        <f t="array" ref="L28">IF(K28&gt;0,IFERROR(HYPERLINK("#'IM'!AC"&amp;MATCH(1,(IM!$F$1:$F$6881=A28)*(ISNUMBER(SEARCH($C$1,IM!$AC$1:$AC$6881))),0),"檢核"),"未登錄"),"")</f>
        <v/>
      </c>
      <c r="M28" s="394">
        <f>Q28&amp;IF(AND(S28&lt;&gt;"",AND(Q28&lt;&gt;"")),$P$2,"")&amp;S28&amp;IF(U28&lt;&gt;"",$P$2,"")&amp;U28</f>
        <v/>
      </c>
      <c r="N28" s="283">
        <f t="array" ref="N28">IF(AND(
    SUMPRODUCT(
        (IM!$F$2:$F$1181=A28) *
        ISNUMBER(SEARCH("*HUB*", IM!$AC$2:$AC$1181)) *
        (IM!$X$2:$X$1181&gt;=$A$1) *
        (IM!$X$2:$X$1181&lt;=$B$1)*(Z28="HUB")
    ) &gt; 0
), "HUB", "")</f>
        <v/>
      </c>
      <c r="O28" s="397">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4">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5">
        <f t="array" ref="V28">IFERROR(INDEX(IM!$AM$2:$AM$9382, MATCH(1, (IM!$F$2:$F$9382=A28) * (ISNUMBER(SEARCH($F$1, IM!$AC$2:$AC$9382))), 0)), "")</f>
        <v/>
      </c>
      <c r="W28" s="228">
        <f>IF(AND(AA28&lt;&gt;"", AB28&lt;&gt;""), 2, IF(OR(AA28&lt;&gt;"", AB28&lt;&gt;""), 1, 0))</f>
        <v/>
      </c>
      <c r="X28" s="228" t="n"/>
      <c r="Y28" s="390">
        <f>IF(OR(S28="STAR", W28="", X28=""), W28,
"總數：" &amp; W28 &amp; CHAR(10) &amp;
"已維修：" &amp; X28 &amp; CHAR(10) &amp;
"未更換：" &amp; (W28 - X28))</f>
        <v/>
      </c>
      <c r="Z28" s="221">
        <f>IF(VLOOKUP(A28,'0919門市清單主檔'!B:AC,28,FALSE)=0,"",VLOOKUP(A28,'0919門市清單主檔'!B:AC,28,FALSE))</f>
        <v/>
      </c>
      <c r="AA28" s="326"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0">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4">
        <f t="array" ref="J29">IFERROR(INDEX(IM!$AM$2:$AM$9333, MATCH(1, (IM!$F$2:$F$9333=A29) * (ISNUMBER(SEARCH($C$1, IM!$AC$2:$AC$9333))), 0)), "")</f>
        <v/>
      </c>
      <c r="K29" s="316">
        <f t="array" ref="K29">SUMPRODUCT((IM!$F$2:$F$9181=A29)*(IM!$AD$2:$AD$9181="O")*(ISNUMBER(SEARCH($C$1, IM!$AC$2:$AC$9181))))</f>
        <v/>
      </c>
      <c r="L29" s="330">
        <f t="array" ref="L29">IF(K29&gt;0,IFERROR(HYPERLINK("#'IM'!AC"&amp;MATCH(1,(IM!$F$1:$F$6881=A29)*(ISNUMBER(SEARCH($C$1,IM!$AC$1:$AC$6881))),0),"檢核"),"未登錄"),"")</f>
        <v/>
      </c>
      <c r="M29" s="394">
        <f>Q29&amp;IF(AND(S29&lt;&gt;"",AND(Q29&lt;&gt;"")),$P$2,"")&amp;S29&amp;IF(U29&lt;&gt;"",$P$2,"")&amp;U29</f>
        <v/>
      </c>
      <c r="N29" s="283">
        <f t="array" ref="N29">IF(AND(
    SUMPRODUCT(
        (IM!$F$2:$F$1181=A29) *
        ISNUMBER(SEARCH("*HUB*", IM!$AC$2:$AC$1181)) *
        (IM!$X$2:$X$1181&gt;=$A$1) *
        (IM!$X$2:$X$1181&lt;=$B$1)*(Z29="HUB")
    ) &gt; 0
), "HUB", "")</f>
        <v/>
      </c>
      <c r="O29" s="397">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4">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5">
        <f t="array" ref="V29">IFERROR(INDEX(IM!$AM$2:$AM$9382, MATCH(1, (IM!$F$2:$F$9382=A29) * (ISNUMBER(SEARCH($F$1, IM!$AC$2:$AC$9382))), 0)), "")</f>
        <v/>
      </c>
      <c r="W29" s="228">
        <f>IF(AND(AA29&lt;&gt;"", AB29&lt;&gt;""), 2, IF(OR(AA29&lt;&gt;"", AB29&lt;&gt;""), 1, 0))</f>
        <v/>
      </c>
      <c r="X29" s="228" t="n"/>
      <c r="Y29" s="390">
        <f>IF(OR(S29="STAR", W29="", X29=""), W29,
"總數：" &amp; W29 &amp; CHAR(10) &amp;
"已維修：" &amp; X29 &amp; CHAR(10) &amp;
"未更換：" &amp; (W29 - X29))</f>
        <v/>
      </c>
      <c r="Z29" s="221">
        <f>IF(VLOOKUP(A29,'0919門市清單主檔'!B:AC,28,FALSE)=0,"",VLOOKUP(A29,'0919門市清單主檔'!B:AC,28,FALSE))</f>
        <v/>
      </c>
      <c r="AA29" s="326"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0">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4">
        <f t="array" ref="J30">IFERROR(INDEX(IM!$AM$2:$AM$9333, MATCH(1, (IM!$F$2:$F$9333=A30) * (ISNUMBER(SEARCH($C$1, IM!$AC$2:$AC$9333))), 0)), "")</f>
        <v/>
      </c>
      <c r="K30" s="316">
        <f t="array" ref="K30">SUMPRODUCT((IM!$F$2:$F$9181=A30)*(IM!$AD$2:$AD$9181="O")*(ISNUMBER(SEARCH($C$1, IM!$AC$2:$AC$9181))))</f>
        <v/>
      </c>
      <c r="L30" s="330">
        <f t="array" ref="L30">IF(K30&gt;0,IFERROR(HYPERLINK("#'IM'!AC"&amp;MATCH(1,(IM!$F$1:$F$6881=A30)*(ISNUMBER(SEARCH($C$1,IM!$AC$1:$AC$6881))),0),"檢核"),"未登錄"),"")</f>
        <v/>
      </c>
      <c r="M30" s="394">
        <f>Q30&amp;IF(AND(S30&lt;&gt;"",AND(Q30&lt;&gt;"")),$P$2,"")&amp;S30&amp;IF(U30&lt;&gt;"",$P$2,"")&amp;U30</f>
        <v/>
      </c>
      <c r="N30" s="283">
        <f t="array" ref="N30">IF(AND(
    SUMPRODUCT(
        (IM!$F$2:$F$1181=A30) *
        ISNUMBER(SEARCH("*HUB*", IM!$AC$2:$AC$1181)) *
        (IM!$X$2:$X$1181&gt;=$A$1) *
        (IM!$X$2:$X$1181&lt;=$B$1)*(Z30="HUB")
    ) &gt; 0
), "HUB", "")</f>
        <v/>
      </c>
      <c r="O30" s="397">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4">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5">
        <f t="array" ref="V30">IFERROR(INDEX(IM!$AM$2:$AM$9382, MATCH(1, (IM!$F$2:$F$9382=A30) * (ISNUMBER(SEARCH($F$1, IM!$AC$2:$AC$9382))), 0)), "")</f>
        <v/>
      </c>
      <c r="W30" s="228">
        <f>IF(AND(AA30&lt;&gt;"", AB30&lt;&gt;""), 2, IF(OR(AA30&lt;&gt;"", AB30&lt;&gt;""), 1, 0))</f>
        <v/>
      </c>
      <c r="X30" s="228" t="n"/>
      <c r="Y30" s="390">
        <f>IF(OR(S30="STAR", W30="", X30=""), W30,
"總數：" &amp; W30 &amp; CHAR(10) &amp;
"已維修：" &amp; X30 &amp; CHAR(10) &amp;
"未更換：" &amp; (W30 - X30))</f>
        <v/>
      </c>
      <c r="Z30" s="221">
        <f>IF(VLOOKUP(A30,'0919門市清單主檔'!B:AC,28,FALSE)=0,"",VLOOKUP(A30,'0919門市清單主檔'!B:AC,28,FALSE))</f>
        <v/>
      </c>
      <c r="AA30" s="326"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0">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4">
        <f t="array" ref="J31">IFERROR(INDEX(IM!$AM$2:$AM$9333, MATCH(1, (IM!$F$2:$F$9333=A31) * (ISNUMBER(SEARCH($C$1, IM!$AC$2:$AC$9333))), 0)), "")</f>
        <v/>
      </c>
      <c r="K31" s="316">
        <f t="array" ref="K31">SUMPRODUCT((IM!$F$2:$F$9181=A31)*(IM!$AD$2:$AD$9181="O")*(ISNUMBER(SEARCH($C$1, IM!$AC$2:$AC$9181))))</f>
        <v/>
      </c>
      <c r="L31" s="330">
        <f t="array" ref="L31">IF(K31&gt;0,IFERROR(HYPERLINK("#'IM'!AC"&amp;MATCH(1,(IM!$F$1:$F$6881=A31)*(ISNUMBER(SEARCH($C$1,IM!$AC$1:$AC$6881))),0),"檢核"),"未登錄"),"")</f>
        <v/>
      </c>
      <c r="M31" s="394">
        <f>Q31&amp;IF(AND(S31&lt;&gt;"",AND(Q31&lt;&gt;"")),$P$2,"")&amp;S31&amp;IF(U31&lt;&gt;"",$P$2,"")&amp;U31</f>
        <v/>
      </c>
      <c r="N31" s="283">
        <f t="array" ref="N31">IF(AND(
    SUMPRODUCT(
        (IM!$F$2:$F$1181=A31) *
        ISNUMBER(SEARCH("*HUB*", IM!$AC$2:$AC$1181)) *
        (IM!$X$2:$X$1181&gt;=$A$1) *
        (IM!$X$2:$X$1181&lt;=$B$1)*(Z31="HUB")
    ) &gt; 0
), "HUB", "")</f>
        <v/>
      </c>
      <c r="O31" s="397">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4">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5">
        <f t="array" ref="V31">IFERROR(INDEX(IM!$AM$2:$AM$9382, MATCH(1, (IM!$F$2:$F$9382=A31) * (ISNUMBER(SEARCH($F$1, IM!$AC$2:$AC$9382))), 0)), "")</f>
        <v/>
      </c>
      <c r="W31" s="228">
        <f>IF(AND(AA31&lt;&gt;"", AB31&lt;&gt;""), 2, IF(OR(AA31&lt;&gt;"", AB31&lt;&gt;""), 1, 0))</f>
        <v/>
      </c>
      <c r="X31" s="228" t="n"/>
      <c r="Y31" s="390">
        <f>IF(OR(S31="STAR", W31="", X31=""), W31,
"總數：" &amp; W31 &amp; CHAR(10) &amp;
"已維修：" &amp; X31 &amp; CHAR(10) &amp;
"未更換：" &amp; (W31 - X31))</f>
        <v/>
      </c>
      <c r="Z31" s="221">
        <f>IF(VLOOKUP(A31,'0919門市清單主檔'!B:AC,28,FALSE)=0,"",VLOOKUP(A31,'0919門市清單主檔'!B:AC,28,FALSE))</f>
        <v/>
      </c>
      <c r="AA31" s="326"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0">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4">
        <f t="array" ref="J32">IFERROR(INDEX(IM!$AM$2:$AM$9333, MATCH(1, (IM!$F$2:$F$9333=A32) * (ISNUMBER(SEARCH($C$1, IM!$AC$2:$AC$9333))), 0)), "")</f>
        <v/>
      </c>
      <c r="K32" s="316">
        <f t="array" ref="K32">SUMPRODUCT((IM!$F$2:$F$9181=A32)*(IM!$AD$2:$AD$9181="O")*(ISNUMBER(SEARCH($C$1, IM!$AC$2:$AC$9181))))</f>
        <v/>
      </c>
      <c r="L32" s="330">
        <f t="array" ref="L32">IF(K32&gt;0,IFERROR(HYPERLINK("#'IM'!AC"&amp;MATCH(1,(IM!$F$1:$F$6881=A32)*(ISNUMBER(SEARCH($C$1,IM!$AC$1:$AC$6881))),0),"檢核"),"未登錄"),"")</f>
        <v/>
      </c>
      <c r="M32" s="394">
        <f>Q32&amp;IF(AND(S32&lt;&gt;"",AND(Q32&lt;&gt;"")),$P$2,"")&amp;S32&amp;IF(U32&lt;&gt;"",$P$2,"")&amp;U32</f>
        <v/>
      </c>
      <c r="N32" s="283">
        <f t="array" ref="N32">IF(AND(
    SUMPRODUCT(
        (IM!$F$2:$F$1181=A32) *
        ISNUMBER(SEARCH("*HUB*", IM!$AC$2:$AC$1181)) *
        (IM!$X$2:$X$1181&gt;=$A$1) *
        (IM!$X$2:$X$1181&lt;=$B$1)*(Z32="HUB")
    ) &gt; 0
), "HUB", "")</f>
        <v/>
      </c>
      <c r="O32" s="397">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4">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5">
        <f t="array" ref="V32">IFERROR(INDEX(IM!$AM$2:$AM$9382, MATCH(1, (IM!$F$2:$F$9382=A32) * (ISNUMBER(SEARCH($F$1, IM!$AC$2:$AC$9382))), 0)), "")</f>
        <v/>
      </c>
      <c r="W32" s="228">
        <f>IF(AND(AA32&lt;&gt;"", AB32&lt;&gt;""), 2, IF(OR(AA32&lt;&gt;"", AB32&lt;&gt;""), 1, 0))</f>
        <v/>
      </c>
      <c r="X32" s="228" t="n"/>
      <c r="Y32" s="390">
        <f>IF(OR(S32="STAR", W32="", X32=""), W32,
"總數：" &amp; W32 &amp; CHAR(10) &amp;
"已維修：" &amp; X32 &amp; CHAR(10) &amp;
"未更換：" &amp; (W32 - X32))</f>
        <v/>
      </c>
      <c r="Z32" s="221">
        <f>IF(VLOOKUP(A32,'0919門市清單主檔'!B:AC,28,FALSE)=0,"",VLOOKUP(A32,'0919門市清單主檔'!B:AC,28,FALSE))</f>
        <v/>
      </c>
      <c r="AA32" s="326"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0">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4">
        <f t="array" ref="J33">IFERROR(INDEX(IM!$AM$2:$AM$9333, MATCH(1, (IM!$F$2:$F$9333=A33) * (ISNUMBER(SEARCH($C$1, IM!$AC$2:$AC$9333))), 0)), "")</f>
        <v/>
      </c>
      <c r="K33" s="316">
        <f t="array" ref="K33">SUMPRODUCT((IM!$F$2:$F$9181=A33)*(IM!$AD$2:$AD$9181="O")*(ISNUMBER(SEARCH($C$1, IM!$AC$2:$AC$9181))))</f>
        <v/>
      </c>
      <c r="L33" s="330">
        <f t="array" ref="L33">IF(K33&gt;0,IFERROR(HYPERLINK("#'IM'!AC"&amp;MATCH(1,(IM!$F$1:$F$6881=A33)*(ISNUMBER(SEARCH($C$1,IM!$AC$1:$AC$6881))),0),"檢核"),"未登錄"),"")</f>
        <v/>
      </c>
      <c r="M33" s="394">
        <f>Q33&amp;IF(AND(S33&lt;&gt;"",AND(Q33&lt;&gt;"")),$P$2,"")&amp;S33&amp;IF(U33&lt;&gt;"",$P$2,"")&amp;U33</f>
        <v/>
      </c>
      <c r="N33" s="283">
        <f t="array" ref="N33">IF(AND(
    SUMPRODUCT(
        (IM!$F$2:$F$1181=A33) *
        ISNUMBER(SEARCH("*HUB*", IM!$AC$2:$AC$1181)) *
        (IM!$X$2:$X$1181&gt;=$A$1) *
        (IM!$X$2:$X$1181&lt;=$B$1)*(Z33="HUB")
    ) &gt; 0
), "HUB", "")</f>
        <v/>
      </c>
      <c r="O33" s="397">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4">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5">
        <f t="array" ref="V33">IFERROR(INDEX(IM!$AM$2:$AM$9382, MATCH(1, (IM!$F$2:$F$9382=A33) * (ISNUMBER(SEARCH($F$1, IM!$AC$2:$AC$9382))), 0)), "")</f>
        <v/>
      </c>
      <c r="W33" s="228">
        <f>IF(AND(AA33&lt;&gt;"", AB33&lt;&gt;""), 2, IF(OR(AA33&lt;&gt;"", AB33&lt;&gt;""), 1, 0))</f>
        <v/>
      </c>
      <c r="X33" s="228" t="n"/>
      <c r="Y33" s="390">
        <f>IF(OR(S33="STAR", W33="", X33=""), W33,
"總數：" &amp; W33 &amp; CHAR(10) &amp;
"已維修：" &amp; X33 &amp; CHAR(10) &amp;
"未更換：" &amp; (W33 - X33))</f>
        <v/>
      </c>
      <c r="Z33" s="221">
        <f>IF(VLOOKUP(A33,'0919門市清單主檔'!B:AC,28,FALSE)=0,"",VLOOKUP(A33,'0919門市清單主檔'!B:AC,28,FALSE))</f>
        <v/>
      </c>
      <c r="AA33" s="326"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0">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4">
        <f t="array" ref="J34">IFERROR(INDEX(IM!$AM$2:$AM$9333, MATCH(1, (IM!$F$2:$F$9333=A34) * (ISNUMBER(SEARCH($C$1, IM!$AC$2:$AC$9333))), 0)), "")</f>
        <v/>
      </c>
      <c r="K34" s="316">
        <f t="array" ref="K34">SUMPRODUCT((IM!$F$2:$F$9181=A34)*(IM!$AD$2:$AD$9181="O")*(ISNUMBER(SEARCH($C$1, IM!$AC$2:$AC$9181))))</f>
        <v/>
      </c>
      <c r="L34" s="330">
        <f t="array" ref="L34">IF(K34&gt;0,IFERROR(HYPERLINK("#'IM'!AC"&amp;MATCH(1,(IM!$F$1:$F$6881=A34)*(ISNUMBER(SEARCH($C$1,IM!$AC$1:$AC$6881))),0),"檢核"),"未登錄"),"")</f>
        <v/>
      </c>
      <c r="M34" s="394">
        <f>Q34&amp;IF(AND(S34&lt;&gt;"",AND(Q34&lt;&gt;"")),$P$2,"")&amp;S34&amp;IF(U34&lt;&gt;"",$P$2,"")&amp;U34</f>
        <v/>
      </c>
      <c r="N34" s="283">
        <f t="array" ref="N34">IF(AND(
    SUMPRODUCT(
        (IM!$F$2:$F$1181=A34) *
        ISNUMBER(SEARCH("*HUB*", IM!$AC$2:$AC$1181)) *
        (IM!$X$2:$X$1181&gt;=$A$1) *
        (IM!$X$2:$X$1181&lt;=$B$1)*(Z34="HUB")
    ) &gt; 0
), "HUB", "")</f>
        <v/>
      </c>
      <c r="O34" s="397">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4">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5">
        <f t="array" ref="V34">IFERROR(INDEX(IM!$AM$2:$AM$9382, MATCH(1, (IM!$F$2:$F$9382=A34) * (ISNUMBER(SEARCH($F$1, IM!$AC$2:$AC$9382))), 0)), "")</f>
        <v/>
      </c>
      <c r="W34" s="228">
        <f>IF(AND(AA34&lt;&gt;"", AB34&lt;&gt;""), 2, IF(OR(AA34&lt;&gt;"", AB34&lt;&gt;""), 1, 0))</f>
        <v/>
      </c>
      <c r="X34" s="228" t="n"/>
      <c r="Y34" s="390">
        <f>IF(OR(S34="STAR", W34="", X34=""), W34,
"總數：" &amp; W34 &amp; CHAR(10) &amp;
"已維修：" &amp; X34 &amp; CHAR(10) &amp;
"未更換：" &amp; (W34 - X34))</f>
        <v/>
      </c>
      <c r="Z34" s="221">
        <f>IF(VLOOKUP(A34,'0919門市清單主檔'!B:AC,28,FALSE)=0,"",VLOOKUP(A34,'0919門市清單主檔'!B:AC,28,FALSE))</f>
        <v/>
      </c>
      <c r="AA34" s="326"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0">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4">
        <f t="array" ref="J35">IFERROR(INDEX(IM!$AM$2:$AM$9333, MATCH(1, (IM!$F$2:$F$9333=A35) * (ISNUMBER(SEARCH($C$1, IM!$AC$2:$AC$9333))), 0)), "")</f>
        <v/>
      </c>
      <c r="K35" s="316">
        <f t="array" ref="K35">SUMPRODUCT((IM!$F$2:$F$9181=A35)*(IM!$AD$2:$AD$9181="O")*(ISNUMBER(SEARCH($C$1, IM!$AC$2:$AC$9181))))</f>
        <v/>
      </c>
      <c r="L35" s="330">
        <f t="array" ref="L35">IF(K35&gt;0,IFERROR(HYPERLINK("#'IM'!AC"&amp;MATCH(1,(IM!$F$1:$F$6881=A35)*(ISNUMBER(SEARCH($C$1,IM!$AC$1:$AC$6881))),0),"檢核"),"未登錄"),"")</f>
        <v/>
      </c>
      <c r="M35" s="394">
        <f>Q35&amp;IF(AND(S35&lt;&gt;"",AND(Q35&lt;&gt;"")),$P$2,"")&amp;S35&amp;IF(U35&lt;&gt;"",$P$2,"")&amp;U35</f>
        <v/>
      </c>
      <c r="N35" s="283">
        <f t="array" ref="N35">IF(AND(
    SUMPRODUCT(
        (IM!$F$2:$F$1181=A35) *
        ISNUMBER(SEARCH("*HUB*", IM!$AC$2:$AC$1181)) *
        (IM!$X$2:$X$1181&gt;=$A$1) *
        (IM!$X$2:$X$1181&lt;=$B$1)*(Z35="HUB")
    ) &gt; 0
), "HUB", "")</f>
        <v/>
      </c>
      <c r="O35" s="397">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4">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5">
        <f t="array" ref="V35">IFERROR(INDEX(IM!$AM$2:$AM$9382, MATCH(1, (IM!$F$2:$F$9382=A35) * (ISNUMBER(SEARCH($F$1, IM!$AC$2:$AC$9382))), 0)), "")</f>
        <v/>
      </c>
      <c r="W35" s="228">
        <f>IF(AND(AA35&lt;&gt;"", AB35&lt;&gt;""), 2, IF(OR(AA35&lt;&gt;"", AB35&lt;&gt;""), 1, 0))</f>
        <v/>
      </c>
      <c r="X35" s="228" t="n"/>
      <c r="Y35" s="390">
        <f>IF(OR(S35="STAR", W35="", X35=""), W35,
"總數：" &amp; W35 &amp; CHAR(10) &amp;
"已維修：" &amp; X35 &amp; CHAR(10) &amp;
"未更換：" &amp; (W35 - X35))</f>
        <v/>
      </c>
      <c r="Z35" s="221">
        <f>IF(VLOOKUP(A35,'0919門市清單主檔'!B:AC,28,FALSE)=0,"",VLOOKUP(A35,'0919門市清單主檔'!B:AC,28,FALSE))</f>
        <v/>
      </c>
      <c r="AA35" s="326"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0">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4">
        <f t="array" ref="J36">IFERROR(INDEX(IM!$AM$2:$AM$9333, MATCH(1, (IM!$F$2:$F$9333=A36) * (ISNUMBER(SEARCH($C$1, IM!$AC$2:$AC$9333))), 0)), "")</f>
        <v/>
      </c>
      <c r="K36" s="316">
        <f t="array" ref="K36">SUMPRODUCT((IM!$F$2:$F$9181=A36)*(IM!$AD$2:$AD$9181="O")*(ISNUMBER(SEARCH($C$1, IM!$AC$2:$AC$9181))))</f>
        <v/>
      </c>
      <c r="L36" s="330">
        <f t="array" ref="L36">IF(K36&gt;0,IFERROR(HYPERLINK("#'IM'!AC"&amp;MATCH(1,(IM!$F$1:$F$6881=A36)*(ISNUMBER(SEARCH($C$1,IM!$AC$1:$AC$6881))),0),"檢核"),"未登錄"),"")</f>
        <v/>
      </c>
      <c r="M36" s="394">
        <f>Q36&amp;IF(AND(S36&lt;&gt;"",AND(Q36&lt;&gt;"")),$P$2,"")&amp;S36&amp;IF(U36&lt;&gt;"",$P$2,"")&amp;U36</f>
        <v/>
      </c>
      <c r="N36" s="283">
        <f t="array" ref="N36">IF(AND(
    SUMPRODUCT(
        (IM!$F$2:$F$1181=A36) *
        ISNUMBER(SEARCH("*HUB*", IM!$AC$2:$AC$1181)) *
        (IM!$X$2:$X$1181&gt;=$A$1) *
        (IM!$X$2:$X$1181&lt;=$B$1)*(Z36="HUB")
    ) &gt; 0
), "HUB", "")</f>
        <v/>
      </c>
      <c r="O36" s="397">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4">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5">
        <f t="array" ref="V36">IFERROR(INDEX(IM!$AM$2:$AM$9382, MATCH(1, (IM!$F$2:$F$9382=A36) * (ISNUMBER(SEARCH($F$1, IM!$AC$2:$AC$9382))), 0)), "")</f>
        <v/>
      </c>
      <c r="W36" s="228">
        <f>IF(AND(AA36&lt;&gt;"", AB36&lt;&gt;""), 2, IF(OR(AA36&lt;&gt;"", AB36&lt;&gt;""), 1, 0))</f>
        <v/>
      </c>
      <c r="X36" s="228" t="n"/>
      <c r="Y36" s="390">
        <f>IF(OR(S36="STAR", W36="", X36=""), W36,
"總數：" &amp; W36 &amp; CHAR(10) &amp;
"已維修：" &amp; X36 &amp; CHAR(10) &amp;
"未更換：" &amp; (W36 - X36))</f>
        <v/>
      </c>
      <c r="Z36" s="221">
        <f>IF(VLOOKUP(A36,'0919門市清單主檔'!B:AC,28,FALSE)=0,"",VLOOKUP(A36,'0919門市清單主檔'!B:AC,28,FALSE))</f>
        <v/>
      </c>
      <c r="AA36" s="326"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0">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4">
        <f t="array" ref="J37">IFERROR(INDEX(IM!$AM$2:$AM$9333, MATCH(1, (IM!$F$2:$F$9333=A37) * (ISNUMBER(SEARCH($C$1, IM!$AC$2:$AC$9333))), 0)), "")</f>
        <v/>
      </c>
      <c r="K37" s="316">
        <f t="array" ref="K37">SUMPRODUCT((IM!$F$2:$F$9181=A37)*(IM!$AD$2:$AD$9181="O")*(ISNUMBER(SEARCH($C$1, IM!$AC$2:$AC$9181))))</f>
        <v/>
      </c>
      <c r="L37" s="330">
        <f t="array" ref="L37">IF(K37&gt;0,IFERROR(HYPERLINK("#'IM'!AC"&amp;MATCH(1,(IM!$F$1:$F$6881=A37)*(ISNUMBER(SEARCH($C$1,IM!$AC$1:$AC$6881))),0),"檢核"),"未登錄"),"")</f>
        <v/>
      </c>
      <c r="M37" s="394">
        <f>Q37&amp;IF(AND(S37&lt;&gt;"",AND(Q37&lt;&gt;"")),$P$2,"")&amp;S37&amp;IF(U37&lt;&gt;"",$P$2,"")&amp;U37</f>
        <v/>
      </c>
      <c r="N37" s="283">
        <f t="array" ref="N37">IF(AND(
    SUMPRODUCT(
        (IM!$F$2:$F$1181=A37) *
        ISNUMBER(SEARCH("*HUB*", IM!$AC$2:$AC$1181)) *
        (IM!$X$2:$X$1181&gt;=$A$1) *
        (IM!$X$2:$X$1181&lt;=$B$1)*(Z37="HUB")
    ) &gt; 0
), "HUB", "")</f>
        <v/>
      </c>
      <c r="O37" s="397">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4">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5">
        <f t="array" ref="V37">IFERROR(INDEX(IM!$AM$2:$AM$9382, MATCH(1, (IM!$F$2:$F$9382=A37) * (ISNUMBER(SEARCH($F$1, IM!$AC$2:$AC$9382))), 0)), "")</f>
        <v/>
      </c>
      <c r="W37" s="228">
        <f>IF(AND(AA37&lt;&gt;"", AB37&lt;&gt;""), 2, IF(OR(AA37&lt;&gt;"", AB37&lt;&gt;""), 1, 0))</f>
        <v/>
      </c>
      <c r="X37" s="228" t="n"/>
      <c r="Y37" s="390">
        <f>IF(OR(S37="STAR", W37="", X37=""), W37,
"總數：" &amp; W37 &amp; CHAR(10) &amp;
"已維修：" &amp; X37 &amp; CHAR(10) &amp;
"未更換：" &amp; (W37 - X37))</f>
        <v/>
      </c>
      <c r="Z37" s="221">
        <f>IF(VLOOKUP(A37,'0919門市清單主檔'!B:AC,28,FALSE)=0,"",VLOOKUP(A37,'0919門市清單主檔'!B:AC,28,FALSE))</f>
        <v/>
      </c>
      <c r="AA37" s="326"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0">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4">
        <f t="array" ref="J38">IFERROR(INDEX(IM!$AM$2:$AM$9333, MATCH(1, (IM!$F$2:$F$9333=A38) * (ISNUMBER(SEARCH($C$1, IM!$AC$2:$AC$9333))), 0)), "")</f>
        <v/>
      </c>
      <c r="K38" s="316">
        <f t="array" ref="K38">SUMPRODUCT((IM!$F$2:$F$9181=A38)*(IM!$AD$2:$AD$9181="O")*(ISNUMBER(SEARCH($C$1, IM!$AC$2:$AC$9181))))</f>
        <v/>
      </c>
      <c r="L38" s="330">
        <f t="array" ref="L38">IF(K38&gt;0,IFERROR(HYPERLINK("#'IM'!AC"&amp;MATCH(1,(IM!$F$1:$F$6881=A38)*(ISNUMBER(SEARCH($C$1,IM!$AC$1:$AC$6881))),0),"檢核"),"未登錄"),"")</f>
        <v/>
      </c>
      <c r="M38" s="394">
        <f>Q38&amp;IF(AND(S38&lt;&gt;"",AND(Q38&lt;&gt;"")),$P$2,"")&amp;S38&amp;IF(U38&lt;&gt;"",$P$2,"")&amp;U38</f>
        <v/>
      </c>
      <c r="N38" s="283">
        <f t="array" ref="N38">IF(AND(
    SUMPRODUCT(
        (IM!$F$2:$F$1181=A38) *
        ISNUMBER(SEARCH("*HUB*", IM!$AC$2:$AC$1181)) *
        (IM!$X$2:$X$1181&gt;=$A$1) *
        (IM!$X$2:$X$1181&lt;=$B$1)*(Z38="HUB")
    ) &gt; 0
), "HUB", "")</f>
        <v/>
      </c>
      <c r="O38" s="397">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4">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5">
        <f t="array" ref="V38">IFERROR(INDEX(IM!$AM$2:$AM$9382, MATCH(1, (IM!$F$2:$F$9382=A38) * (ISNUMBER(SEARCH($F$1, IM!$AC$2:$AC$9382))), 0)), "")</f>
        <v/>
      </c>
      <c r="W38" s="228">
        <f>IF(AND(AA38&lt;&gt;"", AB38&lt;&gt;""), 2, IF(OR(AA38&lt;&gt;"", AB38&lt;&gt;""), 1, 0))</f>
        <v/>
      </c>
      <c r="X38" s="228" t="n"/>
      <c r="Y38" s="390">
        <f>IF(OR(S38="STAR", W38="", X38=""), W38,
"總數：" &amp; W38 &amp; CHAR(10) &amp;
"已維修：" &amp; X38 &amp; CHAR(10) &amp;
"未更換：" &amp; (W38 - X38))</f>
        <v/>
      </c>
      <c r="Z38" s="221">
        <f>IF(VLOOKUP(A38,'0919門市清單主檔'!B:AC,28,FALSE)=0,"",VLOOKUP(A38,'0919門市清單主檔'!B:AC,28,FALSE))</f>
        <v/>
      </c>
      <c r="AA38" s="326"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0">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4">
        <f t="array" ref="J39">IFERROR(INDEX(IM!$AM$2:$AM$9333, MATCH(1, (IM!$F$2:$F$9333=A39) * (ISNUMBER(SEARCH($C$1, IM!$AC$2:$AC$9333))), 0)), "")</f>
        <v/>
      </c>
      <c r="K39" s="316">
        <f t="array" ref="K39">SUMPRODUCT((IM!$F$2:$F$9181=A39)*(IM!$AD$2:$AD$9181="O")*(ISNUMBER(SEARCH($C$1, IM!$AC$2:$AC$9181))))</f>
        <v/>
      </c>
      <c r="L39" s="330">
        <f t="array" ref="L39">IF(K39&gt;0,IFERROR(HYPERLINK("#'IM'!AC"&amp;MATCH(1,(IM!$F$1:$F$6881=A39)*(ISNUMBER(SEARCH($C$1,IM!$AC$1:$AC$6881))),0),"檢核"),"未登錄"),"")</f>
        <v/>
      </c>
      <c r="M39" s="394">
        <f>Q39&amp;IF(AND(S39&lt;&gt;"",AND(Q39&lt;&gt;"")),$P$2,"")&amp;S39&amp;IF(U39&lt;&gt;"",$P$2,"")&amp;U39</f>
        <v/>
      </c>
      <c r="N39" s="283">
        <f t="array" ref="N39">IF(AND(
    SUMPRODUCT(
        (IM!$F$2:$F$1181=A39) *
        ISNUMBER(SEARCH("*HUB*", IM!$AC$2:$AC$1181)) *
        (IM!$X$2:$X$1181&gt;=$A$1) *
        (IM!$X$2:$X$1181&lt;=$B$1)*(Z39="HUB")
    ) &gt; 0
), "HUB", "")</f>
        <v/>
      </c>
      <c r="O39" s="397">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4">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5">
        <f t="array" ref="V39">IFERROR(INDEX(IM!$AM$2:$AM$9382, MATCH(1, (IM!$F$2:$F$9382=A39) * (ISNUMBER(SEARCH($F$1, IM!$AC$2:$AC$9382))), 0)), "")</f>
        <v/>
      </c>
      <c r="W39" s="228">
        <f>IF(AND(AA39&lt;&gt;"", AB39&lt;&gt;""), 2, IF(OR(AA39&lt;&gt;"", AB39&lt;&gt;""), 1, 0))</f>
        <v/>
      </c>
      <c r="X39" s="228" t="n"/>
      <c r="Y39" s="390">
        <f>IF(OR(S39="STAR", W39="", X39=""), W39,
"總數：" &amp; W39 &amp; CHAR(10) &amp;
"已維修：" &amp; X39 &amp; CHAR(10) &amp;
"未更換：" &amp; (W39 - X39))</f>
        <v/>
      </c>
      <c r="Z39" s="221">
        <f>IF(VLOOKUP(A39,'0919門市清單主檔'!B:AC,28,FALSE)=0,"",VLOOKUP(A39,'0919門市清單主檔'!B:AC,28,FALSE))</f>
        <v/>
      </c>
      <c r="AA39" s="326"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0">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4">
        <f t="array" ref="J40">IFERROR(INDEX(IM!$AM$2:$AM$9333, MATCH(1, (IM!$F$2:$F$9333=A40) * (ISNUMBER(SEARCH($C$1, IM!$AC$2:$AC$9333))), 0)), "")</f>
        <v/>
      </c>
      <c r="K40" s="316">
        <f t="array" ref="K40">SUMPRODUCT((IM!$F$2:$F$9181=A40)*(IM!$AD$2:$AD$9181="O")*(ISNUMBER(SEARCH($C$1, IM!$AC$2:$AC$9181))))</f>
        <v/>
      </c>
      <c r="L40" s="330">
        <f t="array" ref="L40">IF(K40&gt;0,IFERROR(HYPERLINK("#'IM'!AC"&amp;MATCH(1,(IM!$F$1:$F$6881=A40)*(ISNUMBER(SEARCH($C$1,IM!$AC$1:$AC$6881))),0),"檢核"),"未登錄"),"")</f>
        <v/>
      </c>
      <c r="M40" s="394">
        <f>Q40&amp;IF(AND(S40&lt;&gt;"",AND(Q40&lt;&gt;"")),$P$2,"")&amp;S40&amp;IF(U40&lt;&gt;"",$P$2,"")&amp;U40</f>
        <v/>
      </c>
      <c r="N40" s="283">
        <f t="array" ref="N40">IF(AND(
    SUMPRODUCT(
        (IM!$F$2:$F$1181=A40) *
        ISNUMBER(SEARCH("*HUB*", IM!$AC$2:$AC$1181)) *
        (IM!$X$2:$X$1181&gt;=$A$1) *
        (IM!$X$2:$X$1181&lt;=$B$1)*(Z40="HUB")
    ) &gt; 0
), "HUB", "")</f>
        <v/>
      </c>
      <c r="O40" s="397">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4">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5">
        <f t="array" ref="V40">IFERROR(INDEX(IM!$AM$2:$AM$9382, MATCH(1, (IM!$F$2:$F$9382=A40) * (ISNUMBER(SEARCH($F$1, IM!$AC$2:$AC$9382))), 0)), "")</f>
        <v/>
      </c>
      <c r="W40" s="228">
        <f>IF(AND(AA40&lt;&gt;"", AB40&lt;&gt;""), 2, IF(OR(AA40&lt;&gt;"", AB40&lt;&gt;""), 1, 0))</f>
        <v/>
      </c>
      <c r="X40" s="228" t="n"/>
      <c r="Y40" s="390">
        <f>IF(OR(S40="STAR", W40="", X40=""), W40,
"總數：" &amp; W40 &amp; CHAR(10) &amp;
"已維修：" &amp; X40 &amp; CHAR(10) &amp;
"未更換：" &amp; (W40 - X40))</f>
        <v/>
      </c>
      <c r="Z40" s="221">
        <f>IF(VLOOKUP(A40,'0919門市清單主檔'!B:AC,28,FALSE)=0,"",VLOOKUP(A40,'0919門市清單主檔'!B:AC,28,FALSE))</f>
        <v/>
      </c>
      <c r="AA40" s="326"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0">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4">
        <f t="array" ref="J41">IFERROR(INDEX(IM!$AM$2:$AM$9333, MATCH(1, (IM!$F$2:$F$9333=A41) * (ISNUMBER(SEARCH($C$1, IM!$AC$2:$AC$9333))), 0)), "")</f>
        <v/>
      </c>
      <c r="K41" s="316">
        <f t="array" ref="K41">SUMPRODUCT((IM!$F$2:$F$9181=A41)*(IM!$AD$2:$AD$9181="O")*(ISNUMBER(SEARCH($C$1, IM!$AC$2:$AC$9181))))</f>
        <v/>
      </c>
      <c r="L41" s="330">
        <f t="array" ref="L41">IF(K41&gt;0,IFERROR(HYPERLINK("#'IM'!AC"&amp;MATCH(1,(IM!$F$1:$F$6881=A41)*(ISNUMBER(SEARCH($C$1,IM!$AC$1:$AC$6881))),0),"檢核"),"未登錄"),"")</f>
        <v/>
      </c>
      <c r="M41" s="394">
        <f>Q41&amp;IF(AND(S41&lt;&gt;"",AND(Q41&lt;&gt;"")),$P$2,"")&amp;S41&amp;IF(U41&lt;&gt;"",$P$2,"")&amp;U41</f>
        <v/>
      </c>
      <c r="N41" s="283">
        <f t="array" ref="N41">IF(AND(
    SUMPRODUCT(
        (IM!$F$2:$F$1181=A41) *
        ISNUMBER(SEARCH("*HUB*", IM!$AC$2:$AC$1181)) *
        (IM!$X$2:$X$1181&gt;=$A$1) *
        (IM!$X$2:$X$1181&lt;=$B$1)*(Z41="HUB")
    ) &gt; 0
), "HUB", "")</f>
        <v/>
      </c>
      <c r="O41" s="397">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4">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5">
        <f t="array" ref="V41">IFERROR(INDEX(IM!$AM$2:$AM$9382, MATCH(1, (IM!$F$2:$F$9382=A41) * (ISNUMBER(SEARCH($F$1, IM!$AC$2:$AC$9382))), 0)), "")</f>
        <v/>
      </c>
      <c r="W41" s="228">
        <f>IF(AND(AA41&lt;&gt;"", AB41&lt;&gt;""), 2, IF(OR(AA41&lt;&gt;"", AB41&lt;&gt;""), 1, 0))</f>
        <v/>
      </c>
      <c r="X41" s="228" t="n"/>
      <c r="Y41" s="390">
        <f>IF(OR(S41="STAR", W41="", X41=""), W41,
"總數：" &amp; W41 &amp; CHAR(10) &amp;
"已維修：" &amp; X41 &amp; CHAR(10) &amp;
"未更換：" &amp; (W41 - X41))</f>
        <v/>
      </c>
      <c r="Z41" s="221">
        <f>IF(VLOOKUP(A41,'0919門市清單主檔'!B:AC,28,FALSE)=0,"",VLOOKUP(A41,'0919門市清單主檔'!B:AC,28,FALSE))</f>
        <v/>
      </c>
      <c r="AA41" s="326"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0">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4">
        <f t="array" ref="J42">IFERROR(INDEX(IM!$AM$2:$AM$9333, MATCH(1, (IM!$F$2:$F$9333=A42) * (ISNUMBER(SEARCH($C$1, IM!$AC$2:$AC$9333))), 0)), "")</f>
        <v/>
      </c>
      <c r="K42" s="316">
        <f t="array" ref="K42">SUMPRODUCT((IM!$F$2:$F$9181=A42)*(IM!$AD$2:$AD$9181="O")*(ISNUMBER(SEARCH($C$1, IM!$AC$2:$AC$9181))))</f>
        <v/>
      </c>
      <c r="L42" s="330">
        <f t="array" ref="L42">IF(K42&gt;0,IFERROR(HYPERLINK("#'IM'!AC"&amp;MATCH(1,(IM!$F$1:$F$6881=A42)*(ISNUMBER(SEARCH($C$1,IM!$AC$1:$AC$6881))),0),"檢核"),"未登錄"),"")</f>
        <v/>
      </c>
      <c r="M42" s="394">
        <f>Q42&amp;IF(AND(S42&lt;&gt;"",AND(Q42&lt;&gt;"")),$P$2,"")&amp;S42&amp;IF(U42&lt;&gt;"",$P$2,"")&amp;U42</f>
        <v/>
      </c>
      <c r="N42" s="283">
        <f t="array" ref="N42">IF(AND(
    SUMPRODUCT(
        (IM!$F$2:$F$1181=A42) *
        ISNUMBER(SEARCH("*HUB*", IM!$AC$2:$AC$1181)) *
        (IM!$X$2:$X$1181&gt;=$A$1) *
        (IM!$X$2:$X$1181&lt;=$B$1)*(Z42="HUB")
    ) &gt; 0
), "HUB", "")</f>
        <v/>
      </c>
      <c r="O42" s="397">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4">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5">
        <f t="array" ref="V42">IFERROR(INDEX(IM!$AM$2:$AM$9382, MATCH(1, (IM!$F$2:$F$9382=A42) * (ISNUMBER(SEARCH($F$1, IM!$AC$2:$AC$9382))), 0)), "")</f>
        <v/>
      </c>
      <c r="W42" s="228">
        <f>IF(AND(AA42&lt;&gt;"", AB42&lt;&gt;""), 2, IF(OR(AA42&lt;&gt;"", AB42&lt;&gt;""), 1, 0))</f>
        <v/>
      </c>
      <c r="X42" s="228" t="n"/>
      <c r="Y42" s="390">
        <f>IF(OR(S42="STAR", W42="", X42=""), W42,
"總數：" &amp; W42 &amp; CHAR(10) &amp;
"已維修：" &amp; X42 &amp; CHAR(10) &amp;
"未更換：" &amp; (W42 - X42))</f>
        <v/>
      </c>
      <c r="Z42" s="221">
        <f>IF(VLOOKUP(A42,'0919門市清單主檔'!B:AC,28,FALSE)=0,"",VLOOKUP(A42,'0919門市清單主檔'!B:AC,28,FALSE))</f>
        <v/>
      </c>
      <c r="AA42" s="326"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0">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4">
        <f t="array" ref="J43">IFERROR(INDEX(IM!$AM$2:$AM$9333, MATCH(1, (IM!$F$2:$F$9333=A43) * (ISNUMBER(SEARCH($C$1, IM!$AC$2:$AC$9333))), 0)), "")</f>
        <v/>
      </c>
      <c r="K43" s="316">
        <f t="array" ref="K43">SUMPRODUCT((IM!$F$2:$F$9181=A43)*(IM!$AD$2:$AD$9181="O")*(ISNUMBER(SEARCH($C$1, IM!$AC$2:$AC$9181))))</f>
        <v/>
      </c>
      <c r="L43" s="330">
        <f t="array" ref="L43">IF(K43&gt;0,IFERROR(HYPERLINK("#'IM'!AC"&amp;MATCH(1,(IM!$F$1:$F$6881=A43)*(ISNUMBER(SEARCH($C$1,IM!$AC$1:$AC$6881))),0),"檢核"),"未登錄"),"")</f>
        <v/>
      </c>
      <c r="M43" s="394">
        <f>Q43&amp;IF(AND(S43&lt;&gt;"",AND(Q43&lt;&gt;"")),$P$2,"")&amp;S43&amp;IF(U43&lt;&gt;"",$P$2,"")&amp;U43</f>
        <v/>
      </c>
      <c r="N43" s="283">
        <f t="array" ref="N43">IF(AND(
    SUMPRODUCT(
        (IM!$F$2:$F$1181=A43) *
        ISNUMBER(SEARCH("*HUB*", IM!$AC$2:$AC$1181)) *
        (IM!$X$2:$X$1181&gt;=$A$1) *
        (IM!$X$2:$X$1181&lt;=$B$1)*(Z43="HUB")
    ) &gt; 0
), "HUB", "")</f>
        <v/>
      </c>
      <c r="O43" s="397">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4">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5">
        <f t="array" ref="V43">IFERROR(INDEX(IM!$AM$2:$AM$9382, MATCH(1, (IM!$F$2:$F$9382=A43) * (ISNUMBER(SEARCH($F$1, IM!$AC$2:$AC$9382))), 0)), "")</f>
        <v/>
      </c>
      <c r="W43" s="228">
        <f>IF(AND(AA43&lt;&gt;"", AB43&lt;&gt;""), 2, IF(OR(AA43&lt;&gt;"", AB43&lt;&gt;""), 1, 0))</f>
        <v/>
      </c>
      <c r="X43" s="228" t="n"/>
      <c r="Y43" s="390">
        <f>IF(OR(S43="STAR", W43="", X43=""), W43,
"總數：" &amp; W43 &amp; CHAR(10) &amp;
"已維修：" &amp; X43 &amp; CHAR(10) &amp;
"未更換：" &amp; (W43 - X43))</f>
        <v/>
      </c>
      <c r="Z43" s="221">
        <f>IF(VLOOKUP(A43,'0919門市清單主檔'!B:AC,28,FALSE)=0,"",VLOOKUP(A43,'0919門市清單主檔'!B:AC,28,FALSE))</f>
        <v/>
      </c>
      <c r="AA43" s="326"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0">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4">
        <f t="array" ref="J44">IFERROR(INDEX(IM!$AM$2:$AM$9333, MATCH(1, (IM!$F$2:$F$9333=A44) * (ISNUMBER(SEARCH($C$1, IM!$AC$2:$AC$9333))), 0)), "")</f>
        <v/>
      </c>
      <c r="K44" s="316">
        <f t="array" ref="K44">SUMPRODUCT((IM!$F$2:$F$9181=A44)*(IM!$AD$2:$AD$9181="O")*(ISNUMBER(SEARCH($C$1, IM!$AC$2:$AC$9181))))</f>
        <v/>
      </c>
      <c r="L44" s="330">
        <f t="array" ref="L44">IF(K44&gt;0,IFERROR(HYPERLINK("#'IM'!AC"&amp;MATCH(1,(IM!$F$1:$F$6881=A44)*(ISNUMBER(SEARCH($C$1,IM!$AC$1:$AC$6881))),0),"檢核"),"未登錄"),"")</f>
        <v/>
      </c>
      <c r="M44" s="394">
        <f>Q44&amp;IF(AND(S44&lt;&gt;"",AND(Q44&lt;&gt;"")),$P$2,"")&amp;S44&amp;IF(U44&lt;&gt;"",$P$2,"")&amp;U44</f>
        <v/>
      </c>
      <c r="N44" s="283">
        <f t="array" ref="N44">IF(AND(
    SUMPRODUCT(
        (IM!$F$2:$F$1181=A44) *
        ISNUMBER(SEARCH("*HUB*", IM!$AC$2:$AC$1181)) *
        (IM!$X$2:$X$1181&gt;=$A$1) *
        (IM!$X$2:$X$1181&lt;=$B$1)*(Z44="HUB")
    ) &gt; 0
), "HUB", "")</f>
        <v/>
      </c>
      <c r="O44" s="397">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4">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5">
        <f t="array" ref="V44">IFERROR(INDEX(IM!$AM$2:$AM$9382, MATCH(1, (IM!$F$2:$F$9382=A44) * (ISNUMBER(SEARCH($F$1, IM!$AC$2:$AC$9382))), 0)), "")</f>
        <v/>
      </c>
      <c r="W44" s="228">
        <f>IF(AND(AA44&lt;&gt;"", AB44&lt;&gt;""), 2, IF(OR(AA44&lt;&gt;"", AB44&lt;&gt;""), 1, 0))</f>
        <v/>
      </c>
      <c r="X44" s="228" t="n"/>
      <c r="Y44" s="390">
        <f>IF(OR(S44="STAR", W44="", X44=""), W44,
"總數：" &amp; W44 &amp; CHAR(10) &amp;
"已維修：" &amp; X44 &amp; CHAR(10) &amp;
"未更換：" &amp; (W44 - X44))</f>
        <v/>
      </c>
      <c r="Z44" s="221">
        <f>IF(VLOOKUP(A44,'0919門市清單主檔'!B:AC,28,FALSE)=0,"",VLOOKUP(A44,'0919門市清單主檔'!B:AC,28,FALSE))</f>
        <v/>
      </c>
      <c r="AA44" s="326"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0">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4">
        <f t="array" ref="J45">IFERROR(INDEX(IM!$AM$2:$AM$9333, MATCH(1, (IM!$F$2:$F$9333=A45) * (ISNUMBER(SEARCH($C$1, IM!$AC$2:$AC$9333))), 0)), "")</f>
        <v/>
      </c>
      <c r="K45" s="316">
        <f t="array" ref="K45">SUMPRODUCT((IM!$F$2:$F$9181=A45)*(IM!$AD$2:$AD$9181="O")*(ISNUMBER(SEARCH($C$1, IM!$AC$2:$AC$9181))))</f>
        <v/>
      </c>
      <c r="L45" s="330">
        <f t="array" ref="L45">IF(K45&gt;0,IFERROR(HYPERLINK("#'IM'!AC"&amp;MATCH(1,(IM!$F$1:$F$6881=A45)*(ISNUMBER(SEARCH($C$1,IM!$AC$1:$AC$6881))),0),"檢核"),"未登錄"),"")</f>
        <v/>
      </c>
      <c r="M45" s="394">
        <f>Q45&amp;IF(AND(S45&lt;&gt;"",AND(Q45&lt;&gt;"")),$P$2,"")&amp;S45&amp;IF(U45&lt;&gt;"",$P$2,"")&amp;U45</f>
        <v/>
      </c>
      <c r="N45" s="283">
        <f t="array" ref="N45">IF(AND(
    SUMPRODUCT(
        (IM!$F$2:$F$1181=A45) *
        ISNUMBER(SEARCH("*HUB*", IM!$AC$2:$AC$1181)) *
        (IM!$X$2:$X$1181&gt;=$A$1) *
        (IM!$X$2:$X$1181&lt;=$B$1)*(Z45="HUB")
    ) &gt; 0
), "HUB", "")</f>
        <v/>
      </c>
      <c r="O45" s="397">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4">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5">
        <f t="array" ref="V45">IFERROR(INDEX(IM!$AM$2:$AM$9382, MATCH(1, (IM!$F$2:$F$9382=A45) * (ISNUMBER(SEARCH($F$1, IM!$AC$2:$AC$9382))), 0)), "")</f>
        <v/>
      </c>
      <c r="W45" s="228">
        <f>IF(AND(AA45&lt;&gt;"", AB45&lt;&gt;""), 2, IF(OR(AA45&lt;&gt;"", AB45&lt;&gt;""), 1, 0))</f>
        <v/>
      </c>
      <c r="X45" s="228" t="n"/>
      <c r="Y45" s="390">
        <f>IF(OR(S45="STAR", W45="", X45=""), W45,
"總數：" &amp; W45 &amp; CHAR(10) &amp;
"已維修：" &amp; X45 &amp; CHAR(10) &amp;
"未更換：" &amp; (W45 - X45))</f>
        <v/>
      </c>
      <c r="Z45" s="221">
        <f>IF(VLOOKUP(A45,'0919門市清單主檔'!B:AC,28,FALSE)=0,"",VLOOKUP(A45,'0919門市清單主檔'!B:AC,28,FALSE))</f>
        <v/>
      </c>
      <c r="AA45" s="326"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0">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4">
        <f t="array" ref="J46">IFERROR(INDEX(IM!$AM$2:$AM$9333, MATCH(1, (IM!$F$2:$F$9333=A46) * (ISNUMBER(SEARCH($C$1, IM!$AC$2:$AC$9333))), 0)), "")</f>
        <v/>
      </c>
      <c r="K46" s="316">
        <f t="array" ref="K46">SUMPRODUCT((IM!$F$2:$F$9181=A46)*(IM!$AD$2:$AD$9181="O")*(ISNUMBER(SEARCH($C$1, IM!$AC$2:$AC$9181))))</f>
        <v/>
      </c>
      <c r="L46" s="330">
        <f t="array" ref="L46">IF(K46&gt;0,IFERROR(HYPERLINK("#'IM'!AC"&amp;MATCH(1,(IM!$F$1:$F$6881=A46)*(ISNUMBER(SEARCH($C$1,IM!$AC$1:$AC$6881))),0),"檢核"),"未登錄"),"")</f>
        <v/>
      </c>
      <c r="M46" s="394">
        <f>Q46&amp;IF(AND(S46&lt;&gt;"",AND(Q46&lt;&gt;"")),$P$2,"")&amp;S46&amp;IF(U46&lt;&gt;"",$P$2,"")&amp;U46</f>
        <v/>
      </c>
      <c r="N46" s="283">
        <f t="array" ref="N46">IF(AND(
    SUMPRODUCT(
        (IM!$F$2:$F$1181=A46) *
        ISNUMBER(SEARCH("*HUB*", IM!$AC$2:$AC$1181)) *
        (IM!$X$2:$X$1181&gt;=$A$1) *
        (IM!$X$2:$X$1181&lt;=$B$1)*(Z46="HUB")
    ) &gt; 0
), "HUB", "")</f>
        <v/>
      </c>
      <c r="O46" s="397">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4">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5">
        <f t="array" ref="V46">IFERROR(INDEX(IM!$AM$2:$AM$9382, MATCH(1, (IM!$F$2:$F$9382=A46) * (ISNUMBER(SEARCH($F$1, IM!$AC$2:$AC$9382))), 0)), "")</f>
        <v/>
      </c>
      <c r="W46" s="228">
        <f>IF(AND(AA46&lt;&gt;"", AB46&lt;&gt;""), 2, IF(OR(AA46&lt;&gt;"", AB46&lt;&gt;""), 1, 0))</f>
        <v/>
      </c>
      <c r="X46" s="228" t="n"/>
      <c r="Y46" s="390">
        <f>IF(OR(S46="STAR", W46="", X46=""), W46,
"總數：" &amp; W46 &amp; CHAR(10) &amp;
"已維修：" &amp; X46 &amp; CHAR(10) &amp;
"未更換：" &amp; (W46 - X46))</f>
        <v/>
      </c>
      <c r="Z46" s="221">
        <f>IF(VLOOKUP(A46,'0919門市清單主檔'!B:AC,28,FALSE)=0,"",VLOOKUP(A46,'0919門市清單主檔'!B:AC,28,FALSE))</f>
        <v/>
      </c>
      <c r="AA46" s="326"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0">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4">
        <f t="array" ref="J47">IFERROR(INDEX(IM!$AM$2:$AM$9333, MATCH(1, (IM!$F$2:$F$9333=A47) * (ISNUMBER(SEARCH($C$1, IM!$AC$2:$AC$9333))), 0)), "")</f>
        <v/>
      </c>
      <c r="K47" s="316">
        <f t="array" ref="K47">SUMPRODUCT((IM!$F$2:$F$9181=A47)*(IM!$AD$2:$AD$9181="O")*(ISNUMBER(SEARCH($C$1, IM!$AC$2:$AC$9181))))</f>
        <v/>
      </c>
      <c r="L47" s="330">
        <f t="array" ref="L47">IF(K47&gt;0,IFERROR(HYPERLINK("#'IM'!AC"&amp;MATCH(1,(IM!$F$1:$F$6881=A47)*(ISNUMBER(SEARCH($C$1,IM!$AC$1:$AC$6881))),0),"檢核"),"未登錄"),"")</f>
        <v/>
      </c>
      <c r="M47" s="394">
        <f>Q47&amp;IF(AND(S47&lt;&gt;"",AND(Q47&lt;&gt;"")),$P$2,"")&amp;S47&amp;IF(U47&lt;&gt;"",$P$2,"")&amp;U47</f>
        <v/>
      </c>
      <c r="N47" s="283">
        <f t="array" ref="N47">IF(AND(
    SUMPRODUCT(
        (IM!$F$2:$F$1181=A47) *
        ISNUMBER(SEARCH("*HUB*", IM!$AC$2:$AC$1181)) *
        (IM!$X$2:$X$1181&gt;=$A$1) *
        (IM!$X$2:$X$1181&lt;=$B$1)*(Z47="HUB")
    ) &gt; 0
), "HUB", "")</f>
        <v/>
      </c>
      <c r="O47" s="397">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4">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5">
        <f t="array" ref="V47">IFERROR(INDEX(IM!$AM$2:$AM$9382, MATCH(1, (IM!$F$2:$F$9382=A47) * (ISNUMBER(SEARCH($F$1, IM!$AC$2:$AC$9382))), 0)), "")</f>
        <v/>
      </c>
      <c r="W47" s="228">
        <f>IF(AND(AA47&lt;&gt;"", AB47&lt;&gt;""), 2, IF(OR(AA47&lt;&gt;"", AB47&lt;&gt;""), 1, 0))</f>
        <v/>
      </c>
      <c r="X47" s="228" t="n"/>
      <c r="Y47" s="390">
        <f>IF(OR(S47="STAR", W47="", X47=""), W47,
"總數：" &amp; W47 &amp; CHAR(10) &amp;
"已維修：" &amp; X47 &amp; CHAR(10) &amp;
"未更換：" &amp; (W47 - X47))</f>
        <v/>
      </c>
      <c r="Z47" s="221">
        <f>IF(VLOOKUP(A47,'0919門市清單主檔'!B:AC,28,FALSE)=0,"",VLOOKUP(A47,'0919門市清單主檔'!B:AC,28,FALSE))</f>
        <v/>
      </c>
      <c r="AA47" s="326"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0">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4">
        <f t="array" ref="J48">IFERROR(INDEX(IM!$AM$2:$AM$9333, MATCH(1, (IM!$F$2:$F$9333=A48) * (ISNUMBER(SEARCH($C$1, IM!$AC$2:$AC$9333))), 0)), "")</f>
        <v/>
      </c>
      <c r="K48" s="316">
        <f t="array" ref="K48">SUMPRODUCT((IM!$F$2:$F$9181=A48)*(IM!$AD$2:$AD$9181="O")*(ISNUMBER(SEARCH($C$1, IM!$AC$2:$AC$9181))))</f>
        <v/>
      </c>
      <c r="L48" s="330">
        <f t="array" ref="L48">IF(K48&gt;0,IFERROR(HYPERLINK("#'IM'!AC"&amp;MATCH(1,(IM!$F$1:$F$6881=A48)*(ISNUMBER(SEARCH($C$1,IM!$AC$1:$AC$6881))),0),"檢核"),"未登錄"),"")</f>
        <v/>
      </c>
      <c r="M48" s="394">
        <f>Q48&amp;IF(AND(S48&lt;&gt;"",AND(Q48&lt;&gt;"")),$P$2,"")&amp;S48&amp;IF(U48&lt;&gt;"",$P$2,"")&amp;U48</f>
        <v/>
      </c>
      <c r="N48" s="283">
        <f t="array" ref="N48">IF(AND(
    SUMPRODUCT(
        (IM!$F$2:$F$1181=A48) *
        ISNUMBER(SEARCH("*HUB*", IM!$AC$2:$AC$1181)) *
        (IM!$X$2:$X$1181&gt;=$A$1) *
        (IM!$X$2:$X$1181&lt;=$B$1)*(Z48="HUB")
    ) &gt; 0
), "HUB", "")</f>
        <v/>
      </c>
      <c r="O48" s="397">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4">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5">
        <f t="array" ref="V48">IFERROR(INDEX(IM!$AM$2:$AM$9382, MATCH(1, (IM!$F$2:$F$9382=A48) * (ISNUMBER(SEARCH($F$1, IM!$AC$2:$AC$9382))), 0)), "")</f>
        <v/>
      </c>
      <c r="W48" s="228">
        <f>IF(AND(AA48&lt;&gt;"", AB48&lt;&gt;""), 2, IF(OR(AA48&lt;&gt;"", AB48&lt;&gt;""), 1, 0))</f>
        <v/>
      </c>
      <c r="X48" s="228" t="n"/>
      <c r="Y48" s="390">
        <f>IF(OR(S48="STAR", W48="", X48=""), W48,
"總數：" &amp; W48 &amp; CHAR(10) &amp;
"已維修：" &amp; X48 &amp; CHAR(10) &amp;
"未更換：" &amp; (W48 - X48))</f>
        <v/>
      </c>
      <c r="Z48" s="221">
        <f>IF(VLOOKUP(A48,'0919門市清單主檔'!B:AC,28,FALSE)=0,"",VLOOKUP(A48,'0919門市清單主檔'!B:AC,28,FALSE))</f>
        <v/>
      </c>
      <c r="AA48" s="326"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0">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4">
        <f t="array" ref="J49">IFERROR(INDEX(IM!$AM$2:$AM$9333, MATCH(1, (IM!$F$2:$F$9333=A49) * (ISNUMBER(SEARCH($C$1, IM!$AC$2:$AC$9333))), 0)), "")</f>
        <v/>
      </c>
      <c r="K49" s="316">
        <f t="array" ref="K49">SUMPRODUCT((IM!$F$2:$F$9181=A49)*(IM!$AD$2:$AD$9181="O")*(ISNUMBER(SEARCH($C$1, IM!$AC$2:$AC$9181))))</f>
        <v/>
      </c>
      <c r="L49" s="330">
        <f t="array" ref="L49">IF(K49&gt;0,IFERROR(HYPERLINK("#'IM'!AC"&amp;MATCH(1,(IM!$F$1:$F$6881=A49)*(ISNUMBER(SEARCH($C$1,IM!$AC$1:$AC$6881))),0),"檢核"),"未登錄"),"")</f>
        <v/>
      </c>
      <c r="M49" s="394">
        <f>Q49&amp;IF(AND(S49&lt;&gt;"",AND(Q49&lt;&gt;"")),$P$2,"")&amp;S49&amp;IF(U49&lt;&gt;"",$P$2,"")&amp;U49</f>
        <v/>
      </c>
      <c r="N49" s="283">
        <f t="array" ref="N49">IF(AND(
    SUMPRODUCT(
        (IM!$F$2:$F$1181=A49) *
        ISNUMBER(SEARCH("*HUB*", IM!$AC$2:$AC$1181)) *
        (IM!$X$2:$X$1181&gt;=$A$1) *
        (IM!$X$2:$X$1181&lt;=$B$1)*(Z49="HUB")
    ) &gt; 0
), "HUB", "")</f>
        <v/>
      </c>
      <c r="O49" s="397">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4">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5">
        <f t="array" ref="V49">IFERROR(INDEX(IM!$AM$2:$AM$9382, MATCH(1, (IM!$F$2:$F$9382=A49) * (ISNUMBER(SEARCH($F$1, IM!$AC$2:$AC$9382))), 0)), "")</f>
        <v/>
      </c>
      <c r="W49" s="228">
        <f>IF(AND(AA49&lt;&gt;"", AB49&lt;&gt;""), 2, IF(OR(AA49&lt;&gt;"", AB49&lt;&gt;""), 1, 0))</f>
        <v/>
      </c>
      <c r="X49" s="228" t="n"/>
      <c r="Y49" s="390">
        <f>IF(OR(S49="STAR", W49="", X49=""), W49,
"總數：" &amp; W49 &amp; CHAR(10) &amp;
"已維修：" &amp; X49 &amp; CHAR(10) &amp;
"未更換：" &amp; (W49 - X49))</f>
        <v/>
      </c>
      <c r="Z49" s="221">
        <f>IF(VLOOKUP(A49,'0919門市清單主檔'!B:AC,28,FALSE)=0,"",VLOOKUP(A49,'0919門市清單主檔'!B:AC,28,FALSE))</f>
        <v/>
      </c>
      <c r="AA49" s="326"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0">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4">
        <f t="array" ref="J50">IFERROR(INDEX(IM!$AM$2:$AM$9333, MATCH(1, (IM!$F$2:$F$9333=A50) * (ISNUMBER(SEARCH($C$1, IM!$AC$2:$AC$9333))), 0)), "")</f>
        <v/>
      </c>
      <c r="K50" s="316">
        <f t="array" ref="K50">SUMPRODUCT((IM!$F$2:$F$9181=A50)*(IM!$AD$2:$AD$9181="O")*(ISNUMBER(SEARCH($C$1, IM!$AC$2:$AC$9181))))</f>
        <v/>
      </c>
      <c r="L50" s="330">
        <f t="array" ref="L50">IF(K50&gt;0,IFERROR(HYPERLINK("#'IM'!AC"&amp;MATCH(1,(IM!$F$1:$F$6881=A50)*(ISNUMBER(SEARCH($C$1,IM!$AC$1:$AC$6881))),0),"檢核"),"未登錄"),"")</f>
        <v/>
      </c>
      <c r="M50" s="394">
        <f>Q50&amp;IF(AND(S50&lt;&gt;"",AND(Q50&lt;&gt;"")),$P$2,"")&amp;S50&amp;IF(U50&lt;&gt;"",$P$2,"")&amp;U50</f>
        <v/>
      </c>
      <c r="N50" s="283">
        <f t="array" ref="N50">IF(AND(
    SUMPRODUCT(
        (IM!$F$2:$F$1181=A50) *
        ISNUMBER(SEARCH("*HUB*", IM!$AC$2:$AC$1181)) *
        (IM!$X$2:$X$1181&gt;=$A$1) *
        (IM!$X$2:$X$1181&lt;=$B$1)*(Z50="HUB")
    ) &gt; 0
), "HUB", "")</f>
        <v/>
      </c>
      <c r="O50" s="397">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4">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5">
        <f t="array" ref="V50">IFERROR(INDEX(IM!$AM$2:$AM$9382, MATCH(1, (IM!$F$2:$F$9382=A50) * (ISNUMBER(SEARCH($F$1, IM!$AC$2:$AC$9382))), 0)), "")</f>
        <v/>
      </c>
      <c r="W50" s="228">
        <f>IF(AND(AA50&lt;&gt;"", AB50&lt;&gt;""), 2, IF(OR(AA50&lt;&gt;"", AB50&lt;&gt;""), 1, 0))</f>
        <v/>
      </c>
      <c r="X50" s="228" t="n"/>
      <c r="Y50" s="390">
        <f>IF(OR(S50="STAR", W50="", X50=""), W50,
"總數：" &amp; W50 &amp; CHAR(10) &amp;
"已維修：" &amp; X50 &amp; CHAR(10) &amp;
"未更換：" &amp; (W50 - X50))</f>
        <v/>
      </c>
      <c r="Z50" s="221">
        <f>IF(VLOOKUP(A50,'0919門市清單主檔'!B:AC,28,FALSE)=0,"",VLOOKUP(A50,'0919門市清單主檔'!B:AC,28,FALSE))</f>
        <v/>
      </c>
      <c r="AA50" s="326"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0">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4">
        <f t="array" ref="J51">IFERROR(INDEX(IM!$AM$2:$AM$9333, MATCH(1, (IM!$F$2:$F$9333=A51) * (ISNUMBER(SEARCH($C$1, IM!$AC$2:$AC$9333))), 0)), "")</f>
        <v/>
      </c>
      <c r="K51" s="316">
        <f t="array" ref="K51">SUMPRODUCT((IM!$F$2:$F$9181=A51)*(IM!$AD$2:$AD$9181="O")*(ISNUMBER(SEARCH($C$1, IM!$AC$2:$AC$9181))))</f>
        <v/>
      </c>
      <c r="L51" s="330">
        <f t="array" ref="L51">IF(K51&gt;0,IFERROR(HYPERLINK("#'IM'!AC"&amp;MATCH(1,(IM!$F$1:$F$6881=A51)*(ISNUMBER(SEARCH($C$1,IM!$AC$1:$AC$6881))),0),"檢核"),"未登錄"),"")</f>
        <v/>
      </c>
      <c r="M51" s="394">
        <f>Q51&amp;IF(AND(S51&lt;&gt;"",AND(Q51&lt;&gt;"")),$P$2,"")&amp;S51&amp;IF(U51&lt;&gt;"",$P$2,"")&amp;U51</f>
        <v/>
      </c>
      <c r="N51" s="283">
        <f t="array" ref="N51">IF(AND(
    SUMPRODUCT(
        (IM!$F$2:$F$1181=A51) *
        ISNUMBER(SEARCH("*HUB*", IM!$AC$2:$AC$1181)) *
        (IM!$X$2:$X$1181&gt;=$A$1) *
        (IM!$X$2:$X$1181&lt;=$B$1)*(Z51="HUB")
    ) &gt; 0
), "HUB", "")</f>
        <v/>
      </c>
      <c r="O51" s="397">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4">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5">
        <f t="array" ref="V51">IFERROR(INDEX(IM!$AM$2:$AM$9382, MATCH(1, (IM!$F$2:$F$9382=A51) * (ISNUMBER(SEARCH($F$1, IM!$AC$2:$AC$9382))), 0)), "")</f>
        <v/>
      </c>
      <c r="W51" s="228">
        <f>IF(AND(AA51&lt;&gt;"", AB51&lt;&gt;""), 2, IF(OR(AA51&lt;&gt;"", AB51&lt;&gt;""), 1, 0))</f>
        <v/>
      </c>
      <c r="X51" s="228" t="n"/>
      <c r="Y51" s="390">
        <f>IF(OR(S51="STAR", W51="", X51=""), W51,
"總數：" &amp; W51 &amp; CHAR(10) &amp;
"已維修：" &amp; X51 &amp; CHAR(10) &amp;
"未更換：" &amp; (W51 - X51))</f>
        <v/>
      </c>
      <c r="Z51" s="221">
        <f>IF(VLOOKUP(A51,'0919門市清單主檔'!B:AC,28,FALSE)=0,"",VLOOKUP(A51,'0919門市清單主檔'!B:AC,28,FALSE))</f>
        <v/>
      </c>
      <c r="AA51" s="428"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0">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4">
        <f t="array" ref="J52">IFERROR(INDEX(IM!$AM$2:$AM$9333, MATCH(1, (IM!$F$2:$F$9333=A52) * (ISNUMBER(SEARCH($C$1, IM!$AC$2:$AC$9333))), 0)), "")</f>
        <v/>
      </c>
      <c r="K52" s="316">
        <f t="array" ref="K52">SUMPRODUCT((IM!$F$2:$F$9181=A52)*(IM!$AD$2:$AD$9181="O")*(ISNUMBER(SEARCH($C$1, IM!$AC$2:$AC$9181))))</f>
        <v/>
      </c>
      <c r="L52" s="330">
        <f t="array" ref="L52">IF(K52&gt;0,IFERROR(HYPERLINK("#'IM'!AC"&amp;MATCH(1,(IM!$F$1:$F$6881=A52)*(ISNUMBER(SEARCH($C$1,IM!$AC$1:$AC$6881))),0),"檢核"),"未登錄"),"")</f>
        <v/>
      </c>
      <c r="M52" s="394">
        <f>Q52&amp;IF(AND(S52&lt;&gt;"",AND(Q52&lt;&gt;"")),$P$2,"")&amp;S52&amp;IF(U52&lt;&gt;"",$P$2,"")&amp;U52</f>
        <v/>
      </c>
      <c r="N52" s="283">
        <f t="array" ref="N52">IF(AND(
    SUMPRODUCT(
        (IM!$F$2:$F$1181=A52) *
        ISNUMBER(SEARCH("*HUB*", IM!$AC$2:$AC$1181)) *
        (IM!$X$2:$X$1181&gt;=$A$1) *
        (IM!$X$2:$X$1181&lt;=$B$1)*(Z52="HUB")
    ) &gt; 0
), "HUB", "")</f>
        <v/>
      </c>
      <c r="O52" s="397">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4">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5">
        <f t="array" ref="V52">IFERROR(INDEX(IM!$AM$2:$AM$9382, MATCH(1, (IM!$F$2:$F$9382=A52) * (ISNUMBER(SEARCH($F$1, IM!$AC$2:$AC$9382))), 0)), "")</f>
        <v/>
      </c>
      <c r="W52" s="228">
        <f>IF(AND(AA52&lt;&gt;"", AB52&lt;&gt;""), 2, IF(OR(AA52&lt;&gt;"", AB52&lt;&gt;""), 1, 0))</f>
        <v/>
      </c>
      <c r="X52" s="228" t="n"/>
      <c r="Y52" s="390">
        <f>IF(OR(S52="STAR", W52="", X52=""), W52,
"總數：" &amp; W52 &amp; CHAR(10) &amp;
"已維修：" &amp; X52 &amp; CHAR(10) &amp;
"未更換：" &amp; (W52 - X52))</f>
        <v/>
      </c>
      <c r="Z52" s="221">
        <f>IF(VLOOKUP(A52,'0919門市清單主檔'!B:AC,28,FALSE)=0,"",VLOOKUP(A52,'0919門市清單主檔'!B:AC,28,FALSE))</f>
        <v/>
      </c>
      <c r="AA52" s="326"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0">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4">
        <f t="array" ref="J53">IFERROR(INDEX(IM!$AM$2:$AM$9333, MATCH(1, (IM!$F$2:$F$9333=A53) * (ISNUMBER(SEARCH($C$1, IM!$AC$2:$AC$9333))), 0)), "")</f>
        <v/>
      </c>
      <c r="K53" s="316">
        <f t="array" ref="K53">SUMPRODUCT((IM!$F$2:$F$9181=A53)*(IM!$AD$2:$AD$9181="O")*(ISNUMBER(SEARCH($C$1, IM!$AC$2:$AC$9181))))</f>
        <v/>
      </c>
      <c r="L53" s="330">
        <f t="array" ref="L53">IF(K53&gt;0,IFERROR(HYPERLINK("#'IM'!AC"&amp;MATCH(1,(IM!$F$1:$F$6881=A53)*(ISNUMBER(SEARCH($C$1,IM!$AC$1:$AC$6881))),0),"檢核"),"未登錄"),"")</f>
        <v/>
      </c>
      <c r="M53" s="394">
        <f>Q53&amp;IF(AND(S53&lt;&gt;"",AND(Q53&lt;&gt;"")),$P$2,"")&amp;S53&amp;IF(U53&lt;&gt;"",$P$2,"")&amp;U53</f>
        <v/>
      </c>
      <c r="N53" s="283">
        <f t="array" ref="N53">IF(AND(
    SUMPRODUCT(
        (IM!$F$2:$F$1181=A53) *
        ISNUMBER(SEARCH("*HUB*", IM!$AC$2:$AC$1181)) *
        (IM!$X$2:$X$1181&gt;=$A$1) *
        (IM!$X$2:$X$1181&lt;=$B$1)*(Z53="HUB")
    ) &gt; 0
), "HUB", "")</f>
        <v/>
      </c>
      <c r="O53" s="397">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4">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5">
        <f t="array" ref="V53">IFERROR(INDEX(IM!$AM$2:$AM$9382, MATCH(1, (IM!$F$2:$F$9382=A53) * (ISNUMBER(SEARCH($F$1, IM!$AC$2:$AC$9382))), 0)), "")</f>
        <v/>
      </c>
      <c r="W53" s="228">
        <f>IF(AND(AA53&lt;&gt;"", AB53&lt;&gt;""), 2, IF(OR(AA53&lt;&gt;"", AB53&lt;&gt;""), 1, 0))</f>
        <v/>
      </c>
      <c r="X53" s="228" t="n"/>
      <c r="Y53" s="390">
        <f>IF(OR(S53="STAR", W53="", X53=""), W53,
"總數：" &amp; W53 &amp; CHAR(10) &amp;
"已維修：" &amp; X53 &amp; CHAR(10) &amp;
"未更換：" &amp; (W53 - X53))</f>
        <v/>
      </c>
      <c r="Z53" s="221">
        <f>IF(VLOOKUP(A53,'0919門市清單主檔'!B:AC,28,FALSE)=0,"",VLOOKUP(A53,'0919門市清單主檔'!B:AC,28,FALSE))</f>
        <v/>
      </c>
      <c r="AA53" s="326"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0">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4">
        <f t="array" ref="J54">IFERROR(INDEX(IM!$AM$2:$AM$9333, MATCH(1, (IM!$F$2:$F$9333=A54) * (ISNUMBER(SEARCH($C$1, IM!$AC$2:$AC$9333))), 0)), "")</f>
        <v/>
      </c>
      <c r="K54" s="316">
        <f t="array" ref="K54">SUMPRODUCT((IM!$F$2:$F$9181=A54)*(IM!$AD$2:$AD$9181="O")*(ISNUMBER(SEARCH($C$1, IM!$AC$2:$AC$9181))))</f>
        <v/>
      </c>
      <c r="L54" s="330">
        <f t="array" ref="L54">IF(K54&gt;0,IFERROR(HYPERLINK("#'IM'!AC"&amp;MATCH(1,(IM!$F$1:$F$6881=A54)*(ISNUMBER(SEARCH($C$1,IM!$AC$1:$AC$6881))),0),"檢核"),"未登錄"),"")</f>
        <v/>
      </c>
      <c r="M54" s="394">
        <f>Q54&amp;IF(AND(S54&lt;&gt;"",AND(Q54&lt;&gt;"")),$P$2,"")&amp;S54&amp;IF(U54&lt;&gt;"",$P$2,"")&amp;U54</f>
        <v/>
      </c>
      <c r="N54" s="283">
        <f t="array" ref="N54">IF(AND(
    SUMPRODUCT(
        (IM!$F$2:$F$1181=A54) *
        ISNUMBER(SEARCH("*HUB*", IM!$AC$2:$AC$1181)) *
        (IM!$X$2:$X$1181&gt;=$A$1) *
        (IM!$X$2:$X$1181&lt;=$B$1)*(Z54="HUB")
    ) &gt; 0
), "HUB", "")</f>
        <v/>
      </c>
      <c r="O54" s="397">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4">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5">
        <f t="array" ref="V54">IFERROR(INDEX(IM!$AM$2:$AM$9382, MATCH(1, (IM!$F$2:$F$9382=A54) * (ISNUMBER(SEARCH($F$1, IM!$AC$2:$AC$9382))), 0)), "")</f>
        <v/>
      </c>
      <c r="W54" s="228">
        <f>IF(AND(AA54&lt;&gt;"", AB54&lt;&gt;""), 2, IF(OR(AA54&lt;&gt;"", AB54&lt;&gt;""), 1, 0))</f>
        <v/>
      </c>
      <c r="X54" s="228" t="n"/>
      <c r="Y54" s="390">
        <f>IF(OR(S54="STAR", W54="", X54=""), W54,
"總數：" &amp; W54 &amp; CHAR(10) &amp;
"已維修：" &amp; X54 &amp; CHAR(10) &amp;
"未更換：" &amp; (W54 - X54))</f>
        <v/>
      </c>
      <c r="Z54" s="221">
        <f>IF(VLOOKUP(A54,'0919門市清單主檔'!B:AC,28,FALSE)=0,"",VLOOKUP(A54,'0919門市清單主檔'!B:AC,28,FALSE))</f>
        <v/>
      </c>
      <c r="AA54" s="326"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0">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4">
        <f t="array" ref="J55">IFERROR(INDEX(IM!$AM$2:$AM$9333, MATCH(1, (IM!$F$2:$F$9333=A55) * (ISNUMBER(SEARCH($C$1, IM!$AC$2:$AC$9333))), 0)), "")</f>
        <v/>
      </c>
      <c r="K55" s="316">
        <f t="array" ref="K55">SUMPRODUCT((IM!$F$2:$F$9181=A55)*(IM!$AD$2:$AD$9181="O")*(ISNUMBER(SEARCH($C$1, IM!$AC$2:$AC$9181))))</f>
        <v/>
      </c>
      <c r="L55" s="330">
        <f t="array" ref="L55">IF(K55&gt;0,IFERROR(HYPERLINK("#'IM'!AC"&amp;MATCH(1,(IM!$F$1:$F$6881=A55)*(ISNUMBER(SEARCH($C$1,IM!$AC$1:$AC$6881))),0),"檢核"),"未登錄"),"")</f>
        <v/>
      </c>
      <c r="M55" s="394">
        <f>Q55&amp;IF(AND(S55&lt;&gt;"",AND(Q55&lt;&gt;"")),$P$2,"")&amp;S55&amp;IF(U55&lt;&gt;"",$P$2,"")&amp;U55</f>
        <v/>
      </c>
      <c r="N55" s="283">
        <f t="array" ref="N55">IF(AND(
    SUMPRODUCT(
        (IM!$F$2:$F$1181=A55) *
        ISNUMBER(SEARCH("*HUB*", IM!$AC$2:$AC$1181)) *
        (IM!$X$2:$X$1181&gt;=$A$1) *
        (IM!$X$2:$X$1181&lt;=$B$1)*(Z55="HUB")
    ) &gt; 0
), "HUB", "")</f>
        <v/>
      </c>
      <c r="O55" s="397">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4">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5">
        <f t="array" ref="V55">IFERROR(INDEX(IM!$AM$2:$AM$9382, MATCH(1, (IM!$F$2:$F$9382=A55) * (ISNUMBER(SEARCH($F$1, IM!$AC$2:$AC$9382))), 0)), "")</f>
        <v/>
      </c>
      <c r="W55" s="228">
        <f>IF(AND(AA55&lt;&gt;"", AB55&lt;&gt;""), 2, IF(OR(AA55&lt;&gt;"", AB55&lt;&gt;""), 1, 0))</f>
        <v/>
      </c>
      <c r="X55" s="228" t="n"/>
      <c r="Y55" s="390">
        <f>IF(OR(S55="STAR", W55="", X55=""), W55,
"總數：" &amp; W55 &amp; CHAR(10) &amp;
"已維修：" &amp; X55 &amp; CHAR(10) &amp;
"未更換：" &amp; (W55 - X55))</f>
        <v/>
      </c>
      <c r="Z55" s="221">
        <f>IF(VLOOKUP(A55,'0919門市清單主檔'!B:AC,28,FALSE)=0,"",VLOOKUP(A55,'0919門市清單主檔'!B:AC,28,FALSE))</f>
        <v/>
      </c>
      <c r="AA55" s="326"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0">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4">
        <f t="array" ref="J56">IFERROR(INDEX(IM!$AM$2:$AM$9333, MATCH(1, (IM!$F$2:$F$9333=A56) * (ISNUMBER(SEARCH($C$1, IM!$AC$2:$AC$9333))), 0)), "")</f>
        <v/>
      </c>
      <c r="K56" s="316">
        <f t="array" ref="K56">SUMPRODUCT((IM!$F$2:$F$9181=A56)*(IM!$AD$2:$AD$9181="O")*(ISNUMBER(SEARCH($C$1, IM!$AC$2:$AC$9181))))</f>
        <v/>
      </c>
      <c r="L56" s="330">
        <f t="array" ref="L56">IF(K56&gt;0,IFERROR(HYPERLINK("#'IM'!AC"&amp;MATCH(1,(IM!$F$1:$F$6881=A56)*(ISNUMBER(SEARCH($C$1,IM!$AC$1:$AC$6881))),0),"檢核"),"未登錄"),"")</f>
        <v/>
      </c>
      <c r="M56" s="394">
        <f>Q56&amp;IF(AND(S56&lt;&gt;"",AND(Q56&lt;&gt;"")),$P$2,"")&amp;S56&amp;IF(U56&lt;&gt;"",$P$2,"")&amp;U56</f>
        <v/>
      </c>
      <c r="N56" s="283">
        <f t="array" ref="N56">IF(AND(
    SUMPRODUCT(
        (IM!$F$2:$F$1181=A56) *
        ISNUMBER(SEARCH("*HUB*", IM!$AC$2:$AC$1181)) *
        (IM!$X$2:$X$1181&gt;=$A$1) *
        (IM!$X$2:$X$1181&lt;=$B$1)*(Z56="HUB")
    ) &gt; 0
), "HUB", "")</f>
        <v/>
      </c>
      <c r="O56" s="397">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4">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5">
        <f t="array" ref="V56">IFERROR(INDEX(IM!$AM$2:$AM$9382, MATCH(1, (IM!$F$2:$F$9382=A56) * (ISNUMBER(SEARCH($F$1, IM!$AC$2:$AC$9382))), 0)), "")</f>
        <v/>
      </c>
      <c r="W56" s="228">
        <f>IF(AND(AA56&lt;&gt;"", AB56&lt;&gt;""), 2, IF(OR(AA56&lt;&gt;"", AB56&lt;&gt;""), 1, 0))</f>
        <v/>
      </c>
      <c r="X56" s="228" t="n"/>
      <c r="Y56" s="390">
        <f>IF(OR(S56="STAR", W56="", X56=""), W56,
"總數：" &amp; W56 &amp; CHAR(10) &amp;
"已維修：" &amp; X56 &amp; CHAR(10) &amp;
"未更換：" &amp; (W56 - X56))</f>
        <v/>
      </c>
      <c r="Z56" s="221">
        <f>IF(VLOOKUP(A56,'0919門市清單主檔'!B:AC,28,FALSE)=0,"",VLOOKUP(A56,'0919門市清單主檔'!B:AC,28,FALSE))</f>
        <v/>
      </c>
      <c r="AA56" s="326"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0">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4">
        <f t="array" ref="J57">IFERROR(INDEX(IM!$AM$2:$AM$9333, MATCH(1, (IM!$F$2:$F$9333=A57) * (ISNUMBER(SEARCH($C$1, IM!$AC$2:$AC$9333))), 0)), "")</f>
        <v/>
      </c>
      <c r="K57" s="316">
        <f t="array" ref="K57">SUMPRODUCT((IM!$F$2:$F$9181=A57)*(IM!$AD$2:$AD$9181="O")*(ISNUMBER(SEARCH($C$1, IM!$AC$2:$AC$9181))))</f>
        <v/>
      </c>
      <c r="L57" s="330">
        <f t="array" ref="L57">IF(K57&gt;0,IFERROR(HYPERLINK("#'IM'!AC"&amp;MATCH(1,(IM!$F$1:$F$6881=A57)*(ISNUMBER(SEARCH($C$1,IM!$AC$1:$AC$6881))),0),"檢核"),"未登錄"),"")</f>
        <v/>
      </c>
      <c r="M57" s="394">
        <f>Q57&amp;IF(AND(S57&lt;&gt;"",AND(Q57&lt;&gt;"")),$P$2,"")&amp;S57&amp;IF(U57&lt;&gt;"",$P$2,"")&amp;U57</f>
        <v/>
      </c>
      <c r="N57" s="283">
        <f t="array" ref="N57">IF(AND(
    SUMPRODUCT(
        (IM!$F$2:$F$1181=A57) *
        ISNUMBER(SEARCH("*HUB*", IM!$AC$2:$AC$1181)) *
        (IM!$X$2:$X$1181&gt;=$A$1) *
        (IM!$X$2:$X$1181&lt;=$B$1)*(Z57="HUB")
    ) &gt; 0
), "HUB", "")</f>
        <v/>
      </c>
      <c r="O57" s="397">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4">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5">
        <f t="array" ref="V57">IFERROR(INDEX(IM!$AM$2:$AM$9382, MATCH(1, (IM!$F$2:$F$9382=A57) * (ISNUMBER(SEARCH($F$1, IM!$AC$2:$AC$9382))), 0)), "")</f>
        <v/>
      </c>
      <c r="W57" s="228">
        <f>IF(AND(AA57&lt;&gt;"", AB57&lt;&gt;""), 2, IF(OR(AA57&lt;&gt;"", AB57&lt;&gt;""), 1, 0))</f>
        <v/>
      </c>
      <c r="X57" s="228" t="n"/>
      <c r="Y57" s="390">
        <f>IF(OR(S57="STAR", W57="", X57=""), W57,
"總數：" &amp; W57 &amp; CHAR(10) &amp;
"已維修：" &amp; X57 &amp; CHAR(10) &amp;
"未更換：" &amp; (W57 - X57))</f>
        <v/>
      </c>
      <c r="Z57" s="221">
        <f>IF(VLOOKUP(A57,'0919門市清單主檔'!B:AC,28,FALSE)=0,"",VLOOKUP(A57,'0919門市清單主檔'!B:AC,28,FALSE))</f>
        <v/>
      </c>
      <c r="AA57" s="326"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0">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4">
        <f t="array" ref="J58">IFERROR(INDEX(IM!$AM$2:$AM$9333, MATCH(1, (IM!$F$2:$F$9333=A58) * (ISNUMBER(SEARCH($C$1, IM!$AC$2:$AC$9333))), 0)), "")</f>
        <v/>
      </c>
      <c r="K58" s="316">
        <f t="array" ref="K58">SUMPRODUCT((IM!$F$2:$F$9181=A58)*(IM!$AD$2:$AD$9181="O")*(ISNUMBER(SEARCH($C$1, IM!$AC$2:$AC$9181))))</f>
        <v/>
      </c>
      <c r="L58" s="330">
        <f t="array" ref="L58">IF(K58&gt;0,IFERROR(HYPERLINK("#'IM'!AC"&amp;MATCH(1,(IM!$F$1:$F$6881=A58)*(ISNUMBER(SEARCH($C$1,IM!$AC$1:$AC$6881))),0),"檢核"),"未登錄"),"")</f>
        <v/>
      </c>
      <c r="M58" s="394">
        <f>Q58&amp;IF(AND(S58&lt;&gt;"",AND(Q58&lt;&gt;"")),$P$2,"")&amp;S58&amp;IF(U58&lt;&gt;"",$P$2,"")&amp;U58</f>
        <v/>
      </c>
      <c r="N58" s="283">
        <f t="array" ref="N58">IF(AND(
    SUMPRODUCT(
        (IM!$F$2:$F$1181=A58) *
        ISNUMBER(SEARCH("*HUB*", IM!$AC$2:$AC$1181)) *
        (IM!$X$2:$X$1181&gt;=$A$1) *
        (IM!$X$2:$X$1181&lt;=$B$1)*(Z58="HUB")
    ) &gt; 0
), "HUB", "")</f>
        <v/>
      </c>
      <c r="O58" s="397">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4">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5">
        <f t="array" ref="V58">IFERROR(INDEX(IM!$AM$2:$AM$9382, MATCH(1, (IM!$F$2:$F$9382=A58) * (ISNUMBER(SEARCH($F$1, IM!$AC$2:$AC$9382))), 0)), "")</f>
        <v/>
      </c>
      <c r="W58" s="228">
        <f>IF(AND(AA58&lt;&gt;"", AB58&lt;&gt;""), 2, IF(OR(AA58&lt;&gt;"", AB58&lt;&gt;""), 1, 0))</f>
        <v/>
      </c>
      <c r="X58" s="228" t="n"/>
      <c r="Y58" s="390">
        <f>IF(OR(S58="STAR", W58="", X58=""), W58,
"總數：" &amp; W58 &amp; CHAR(10) &amp;
"已維修：" &amp; X58 &amp; CHAR(10) &amp;
"未更換：" &amp; (W58 - X58))</f>
        <v/>
      </c>
      <c r="Z58" s="221">
        <f>IF(VLOOKUP(A58,'0919門市清單主檔'!B:AC,28,FALSE)=0,"",VLOOKUP(A58,'0919門市清單主檔'!B:AC,28,FALSE))</f>
        <v/>
      </c>
      <c r="AA58" s="326"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0">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4">
        <f t="array" ref="J59">IFERROR(INDEX(IM!$AM$2:$AM$9333, MATCH(1, (IM!$F$2:$F$9333=A59) * (ISNUMBER(SEARCH($C$1, IM!$AC$2:$AC$9333))), 0)), "")</f>
        <v/>
      </c>
      <c r="K59" s="316">
        <f t="array" ref="K59">SUMPRODUCT((IM!$F$2:$F$9181=A59)*(IM!$AD$2:$AD$9181="O")*(ISNUMBER(SEARCH($C$1, IM!$AC$2:$AC$9181))))</f>
        <v/>
      </c>
      <c r="L59" s="330">
        <f t="array" ref="L59">IF(K59&gt;0,IFERROR(HYPERLINK("#'IM'!AC"&amp;MATCH(1,(IM!$F$1:$F$6881=A59)*(ISNUMBER(SEARCH($C$1,IM!$AC$1:$AC$6881))),0),"檢核"),"未登錄"),"")</f>
        <v/>
      </c>
      <c r="M59" s="394">
        <f>Q59&amp;IF(AND(S59&lt;&gt;"",AND(Q59&lt;&gt;"")),$P$2,"")&amp;S59&amp;IF(U59&lt;&gt;"",$P$2,"")&amp;U59</f>
        <v/>
      </c>
      <c r="N59" s="283">
        <f t="array" ref="N59">IF(AND(
    SUMPRODUCT(
        (IM!$F$2:$F$1181=A59) *
        ISNUMBER(SEARCH("*HUB*", IM!$AC$2:$AC$1181)) *
        (IM!$X$2:$X$1181&gt;=$A$1) *
        (IM!$X$2:$X$1181&lt;=$B$1)*(Z59="HUB")
    ) &gt; 0
), "HUB", "")</f>
        <v/>
      </c>
      <c r="O59" s="397">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4">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5">
        <f t="array" ref="V59">IFERROR(INDEX(IM!$AM$2:$AM$9382, MATCH(1, (IM!$F$2:$F$9382=A59) * (ISNUMBER(SEARCH($F$1, IM!$AC$2:$AC$9382))), 0)), "")</f>
        <v/>
      </c>
      <c r="W59" s="228">
        <f>IF(AND(AA59&lt;&gt;"", AB59&lt;&gt;""), 2, IF(OR(AA59&lt;&gt;"", AB59&lt;&gt;""), 1, 0))</f>
        <v/>
      </c>
      <c r="X59" s="228" t="n"/>
      <c r="Y59" s="390">
        <f>IF(OR(S59="STAR", W59="", X59=""), W59,
"總數：" &amp; W59 &amp; CHAR(10) &amp;
"已維修：" &amp; X59 &amp; CHAR(10) &amp;
"未更換：" &amp; (W59 - X59))</f>
        <v/>
      </c>
      <c r="Z59" s="221">
        <f>IF(VLOOKUP(A59,'0919門市清單主檔'!B:AC,28,FALSE)=0,"",VLOOKUP(A59,'0919門市清單主檔'!B:AC,28,FALSE))</f>
        <v/>
      </c>
      <c r="AA59" s="326"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0">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4">
        <f t="array" ref="J60">IFERROR(INDEX(IM!$AM$2:$AM$9333, MATCH(1, (IM!$F$2:$F$9333=A60) * (ISNUMBER(SEARCH($C$1, IM!$AC$2:$AC$9333))), 0)), "")</f>
        <v/>
      </c>
      <c r="K60" s="316">
        <f t="array" ref="K60">SUMPRODUCT((IM!$F$2:$F$9181=A60)*(IM!$AD$2:$AD$9181="O")*(ISNUMBER(SEARCH($C$1, IM!$AC$2:$AC$9181))))</f>
        <v/>
      </c>
      <c r="L60" s="330">
        <f t="array" ref="L60">IF(K60&gt;0,IFERROR(HYPERLINK("#'IM'!AC"&amp;MATCH(1,(IM!$F$1:$F$6881=A60)*(ISNUMBER(SEARCH($C$1,IM!$AC$1:$AC$6881))),0),"檢核"),"未登錄"),"")</f>
        <v/>
      </c>
      <c r="M60" s="394">
        <f>Q60&amp;IF(AND(S60&lt;&gt;"",AND(Q60&lt;&gt;"")),$P$2,"")&amp;S60&amp;IF(U60&lt;&gt;"",$P$2,"")&amp;U60</f>
        <v/>
      </c>
      <c r="N60" s="283">
        <f t="array" ref="N60">IF(AND(
    SUMPRODUCT(
        (IM!$F$2:$F$1181=A60) *
        ISNUMBER(SEARCH("*HUB*", IM!$AC$2:$AC$1181)) *
        (IM!$X$2:$X$1181&gt;=$A$1) *
        (IM!$X$2:$X$1181&lt;=$B$1)*(Z60="HUB")
    ) &gt; 0
), "HUB", "")</f>
        <v/>
      </c>
      <c r="O60" s="397">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4">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5">
        <f t="array" ref="V60">IFERROR(INDEX(IM!$AM$2:$AM$9382, MATCH(1, (IM!$F$2:$F$9382=A60) * (ISNUMBER(SEARCH($F$1, IM!$AC$2:$AC$9382))), 0)), "")</f>
        <v/>
      </c>
      <c r="W60" s="228">
        <f>IF(AND(AA60&lt;&gt;"", AB60&lt;&gt;""), 2, IF(OR(AA60&lt;&gt;"", AB60&lt;&gt;""), 1, 0))</f>
        <v/>
      </c>
      <c r="X60" s="228" t="n"/>
      <c r="Y60" s="390">
        <f>IF(OR(S60="STAR", W60="", X60=""), W60,
"總數：" &amp; W60 &amp; CHAR(10) &amp;
"已維修：" &amp; X60 &amp; CHAR(10) &amp;
"未更換：" &amp; (W60 - X60))</f>
        <v/>
      </c>
      <c r="Z60" s="221">
        <f>IF(VLOOKUP(A60,'0919門市清單主檔'!B:AC,28,FALSE)=0,"",VLOOKUP(A60,'0919門市清單主檔'!B:AC,28,FALSE))</f>
        <v/>
      </c>
      <c r="AA60" s="326"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0">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4">
        <f t="array" ref="J61">IFERROR(INDEX(IM!$AM$2:$AM$9333, MATCH(1, (IM!$F$2:$F$9333=A61) * (ISNUMBER(SEARCH($C$1, IM!$AC$2:$AC$9333))), 0)), "")</f>
        <v/>
      </c>
      <c r="K61" s="316">
        <f t="array" ref="K61">SUMPRODUCT((IM!$F$2:$F$9181=A61)*(IM!$AD$2:$AD$9181="O")*(ISNUMBER(SEARCH($C$1, IM!$AC$2:$AC$9181))))</f>
        <v/>
      </c>
      <c r="L61" s="330">
        <f t="array" ref="L61">IF(K61&gt;0,IFERROR(HYPERLINK("#'IM'!AC"&amp;MATCH(1,(IM!$F$1:$F$6881=A61)*(ISNUMBER(SEARCH($C$1,IM!$AC$1:$AC$6881))),0),"檢核"),"未登錄"),"")</f>
        <v/>
      </c>
      <c r="M61" s="394">
        <f>Q61&amp;IF(AND(S61&lt;&gt;"",AND(Q61&lt;&gt;"")),$P$2,"")&amp;S61&amp;IF(U61&lt;&gt;"",$P$2,"")&amp;U61</f>
        <v/>
      </c>
      <c r="N61" s="283">
        <f t="array" ref="N61">IF(AND(
    SUMPRODUCT(
        (IM!$F$2:$F$1181=A61) *
        ISNUMBER(SEARCH("*HUB*", IM!$AC$2:$AC$1181)) *
        (IM!$X$2:$X$1181&gt;=$A$1) *
        (IM!$X$2:$X$1181&lt;=$B$1)*(Z61="HUB")
    ) &gt; 0
), "HUB", "")</f>
        <v/>
      </c>
      <c r="O61" s="397">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4">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5">
        <f t="array" ref="V61">IFERROR(INDEX(IM!$AM$2:$AM$9382, MATCH(1, (IM!$F$2:$F$9382=A61) * (ISNUMBER(SEARCH($F$1, IM!$AC$2:$AC$9382))), 0)), "")</f>
        <v/>
      </c>
      <c r="W61" s="228">
        <f>IF(AND(AA61&lt;&gt;"", AB61&lt;&gt;""), 2, IF(OR(AA61&lt;&gt;"", AB61&lt;&gt;""), 1, 0))</f>
        <v/>
      </c>
      <c r="X61" s="228" t="n"/>
      <c r="Y61" s="390">
        <f>IF(OR(S61="STAR", W61="", X61=""), W61,
"總數：" &amp; W61 &amp; CHAR(10) &amp;
"已維修：" &amp; X61 &amp; CHAR(10) &amp;
"未更換：" &amp; (W61 - X61))</f>
        <v/>
      </c>
      <c r="Z61" s="221">
        <f>IF(VLOOKUP(A61,'0919門市清單主檔'!B:AC,28,FALSE)=0,"",VLOOKUP(A61,'0919門市清單主檔'!B:AC,28,FALSE))</f>
        <v/>
      </c>
      <c r="AA61" s="326"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0">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4">
        <f t="array" ref="J62">IFERROR(INDEX(IM!$AM$2:$AM$9333, MATCH(1, (IM!$F$2:$F$9333=A62) * (ISNUMBER(SEARCH($C$1, IM!$AC$2:$AC$9333))), 0)), "")</f>
        <v/>
      </c>
      <c r="K62" s="316">
        <f t="array" ref="K62">SUMPRODUCT((IM!$F$2:$F$9181=A62)*(IM!$AD$2:$AD$9181="O")*(ISNUMBER(SEARCH($C$1, IM!$AC$2:$AC$9181))))</f>
        <v/>
      </c>
      <c r="L62" s="330">
        <f t="array" ref="L62">IF(K62&gt;0,IFERROR(HYPERLINK("#'IM'!AC"&amp;MATCH(1,(IM!$F$1:$F$6881=A62)*(ISNUMBER(SEARCH($C$1,IM!$AC$1:$AC$6881))),0),"檢核"),"未登錄"),"")</f>
        <v/>
      </c>
      <c r="M62" s="394">
        <f>Q62&amp;IF(AND(S62&lt;&gt;"",AND(Q62&lt;&gt;"")),$P$2,"")&amp;S62&amp;IF(U62&lt;&gt;"",$P$2,"")&amp;U62</f>
        <v/>
      </c>
      <c r="N62" s="283">
        <f t="array" ref="N62">IF(AND(
    SUMPRODUCT(
        (IM!$F$2:$F$1181=A62) *
        ISNUMBER(SEARCH("*HUB*", IM!$AC$2:$AC$1181)) *
        (IM!$X$2:$X$1181&gt;=$A$1) *
        (IM!$X$2:$X$1181&lt;=$B$1)*(Z62="HUB")
    ) &gt; 0
), "HUB", "")</f>
        <v/>
      </c>
      <c r="O62" s="397">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4">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5">
        <f t="array" ref="V62">IFERROR(INDEX(IM!$AM$2:$AM$9382, MATCH(1, (IM!$F$2:$F$9382=A62) * (ISNUMBER(SEARCH($F$1, IM!$AC$2:$AC$9382))), 0)), "")</f>
        <v/>
      </c>
      <c r="W62" s="228">
        <f>IF(AND(AA62&lt;&gt;"", AB62&lt;&gt;""), 2, IF(OR(AA62&lt;&gt;"", AB62&lt;&gt;""), 1, 0))</f>
        <v/>
      </c>
      <c r="X62" s="228" t="n"/>
      <c r="Y62" s="390">
        <f>IF(OR(S62="STAR", W62="", X62=""), W62,
"總數：" &amp; W62 &amp; CHAR(10) &amp;
"已維修：" &amp; X62 &amp; CHAR(10) &amp;
"未更換：" &amp; (W62 - X62))</f>
        <v/>
      </c>
      <c r="Z62" s="221">
        <f>IF(VLOOKUP(A62,'0919門市清單主檔'!B:AC,28,FALSE)=0,"",VLOOKUP(A62,'0919門市清單主檔'!B:AC,28,FALSE))</f>
        <v/>
      </c>
      <c r="AA62" s="326"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0">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4">
        <f t="array" ref="J63">IFERROR(INDEX(IM!$AM$2:$AM$9333, MATCH(1, (IM!$F$2:$F$9333=A63) * (ISNUMBER(SEARCH($C$1, IM!$AC$2:$AC$9333))), 0)), "")</f>
        <v/>
      </c>
      <c r="K63" s="316">
        <f t="array" ref="K63">SUMPRODUCT((IM!$F$2:$F$9181=A63)*(IM!$AD$2:$AD$9181="O")*(ISNUMBER(SEARCH($C$1, IM!$AC$2:$AC$9181))))</f>
        <v/>
      </c>
      <c r="L63" s="330">
        <f t="array" ref="L63">IF(K63&gt;0,IFERROR(HYPERLINK("#'IM'!AC"&amp;MATCH(1,(IM!$F$1:$F$6881=A63)*(ISNUMBER(SEARCH($C$1,IM!$AC$1:$AC$6881))),0),"檢核"),"未登錄"),"")</f>
        <v/>
      </c>
      <c r="M63" s="394">
        <f>Q63&amp;IF(AND(S63&lt;&gt;"",AND(Q63&lt;&gt;"")),$P$2,"")&amp;S63&amp;IF(U63&lt;&gt;"",$P$2,"")&amp;U63</f>
        <v/>
      </c>
      <c r="N63" s="283">
        <f t="array" ref="N63">IF(AND(
    SUMPRODUCT(
        (IM!$F$2:$F$1181=A63) *
        ISNUMBER(SEARCH("*HUB*", IM!$AC$2:$AC$1181)) *
        (IM!$X$2:$X$1181&gt;=$A$1) *
        (IM!$X$2:$X$1181&lt;=$B$1)*(Z63="HUB")
    ) &gt; 0
), "HUB", "")</f>
        <v/>
      </c>
      <c r="O63" s="397">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4">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5">
        <f t="array" ref="V63">IFERROR(INDEX(IM!$AM$2:$AM$9382, MATCH(1, (IM!$F$2:$F$9382=A63) * (ISNUMBER(SEARCH($F$1, IM!$AC$2:$AC$9382))), 0)), "")</f>
        <v/>
      </c>
      <c r="W63" s="228">
        <f>IF(AND(AA63&lt;&gt;"", AB63&lt;&gt;""), 2, IF(OR(AA63&lt;&gt;"", AB63&lt;&gt;""), 1, 0))</f>
        <v/>
      </c>
      <c r="X63" s="228" t="n"/>
      <c r="Y63" s="390">
        <f>IF(OR(S63="STAR", W63="", X63=""), W63,
"總數：" &amp; W63 &amp; CHAR(10) &amp;
"已維修：" &amp; X63 &amp; CHAR(10) &amp;
"未更換：" &amp; (W63 - X63))</f>
        <v/>
      </c>
      <c r="Z63" s="221">
        <f>IF(VLOOKUP(A63,'0919門市清單主檔'!B:AC,28,FALSE)=0,"",VLOOKUP(A63,'0919門市清單主檔'!B:AC,28,FALSE))</f>
        <v/>
      </c>
      <c r="AA63" s="326"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0">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4">
        <f t="array" ref="J64">IFERROR(INDEX(IM!$AM$2:$AM$9333, MATCH(1, (IM!$F$2:$F$9333=A64) * (ISNUMBER(SEARCH($C$1, IM!$AC$2:$AC$9333))), 0)), "")</f>
        <v/>
      </c>
      <c r="K64" s="316">
        <f t="array" ref="K64">SUMPRODUCT((IM!$F$2:$F$9181=A64)*(IM!$AD$2:$AD$9181="O")*(ISNUMBER(SEARCH($C$1, IM!$AC$2:$AC$9181))))</f>
        <v/>
      </c>
      <c r="L64" s="330">
        <f t="array" ref="L64">IF(K64&gt;0,IFERROR(HYPERLINK("#'IM'!AC"&amp;MATCH(1,(IM!$F$1:$F$6881=A64)*(ISNUMBER(SEARCH($C$1,IM!$AC$1:$AC$6881))),0),"檢核"),"未登錄"),"")</f>
        <v/>
      </c>
      <c r="M64" s="394">
        <f>Q64&amp;IF(AND(S64&lt;&gt;"",AND(Q64&lt;&gt;"")),$P$2,"")&amp;S64&amp;IF(U64&lt;&gt;"",$P$2,"")&amp;U64</f>
        <v/>
      </c>
      <c r="N64" s="283">
        <f t="array" ref="N64">IF(AND(
    SUMPRODUCT(
        (IM!$F$2:$F$1181=A64) *
        ISNUMBER(SEARCH("*HUB*", IM!$AC$2:$AC$1181)) *
        (IM!$X$2:$X$1181&gt;=$A$1) *
        (IM!$X$2:$X$1181&lt;=$B$1)*(Z64="HUB")
    ) &gt; 0
), "HUB", "")</f>
        <v/>
      </c>
      <c r="O64" s="397">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4">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5">
        <f t="array" ref="V64">IFERROR(INDEX(IM!$AM$2:$AM$9382, MATCH(1, (IM!$F$2:$F$9382=A64) * (ISNUMBER(SEARCH($F$1, IM!$AC$2:$AC$9382))), 0)), "")</f>
        <v/>
      </c>
      <c r="W64" s="228">
        <f>IF(AND(AA64&lt;&gt;"", AB64&lt;&gt;""), 2, IF(OR(AA64&lt;&gt;"", AB64&lt;&gt;""), 1, 0))</f>
        <v/>
      </c>
      <c r="X64" s="228" t="n"/>
      <c r="Y64" s="390">
        <f>IF(OR(S64="STAR", W64="", X64=""), W64,
"總數：" &amp; W64 &amp; CHAR(10) &amp;
"已維修：" &amp; X64 &amp; CHAR(10) &amp;
"未更換：" &amp; (W64 - X64))</f>
        <v/>
      </c>
      <c r="Z64" s="221">
        <f>IF(VLOOKUP(A64,'0919門市清單主檔'!B:AC,28,FALSE)=0,"",VLOOKUP(A64,'0919門市清單主檔'!B:AC,28,FALSE))</f>
        <v/>
      </c>
      <c r="AA64" s="326"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0">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4">
        <f t="array" ref="J65">IFERROR(INDEX(IM!$AM$2:$AM$9333, MATCH(1, (IM!$F$2:$F$9333=A65) * (ISNUMBER(SEARCH($C$1, IM!$AC$2:$AC$9333))), 0)), "")</f>
        <v/>
      </c>
      <c r="K65" s="316">
        <f t="array" ref="K65">SUMPRODUCT((IM!$F$2:$F$9181=A65)*(IM!$AD$2:$AD$9181="O")*(ISNUMBER(SEARCH($C$1, IM!$AC$2:$AC$9181))))</f>
        <v/>
      </c>
      <c r="L65" s="330">
        <f t="array" ref="L65">IF(K65&gt;0,IFERROR(HYPERLINK("#'IM'!AC"&amp;MATCH(1,(IM!$F$1:$F$6881=A65)*(ISNUMBER(SEARCH($C$1,IM!$AC$1:$AC$6881))),0),"檢核"),"未登錄"),"")</f>
        <v/>
      </c>
      <c r="M65" s="394">
        <f>Q65&amp;IF(AND(S65&lt;&gt;"",AND(Q65&lt;&gt;"")),$P$2,"")&amp;S65&amp;IF(U65&lt;&gt;"",$P$2,"")&amp;U65</f>
        <v/>
      </c>
      <c r="N65" s="283">
        <f t="array" ref="N65">IF(AND(
    SUMPRODUCT(
        (IM!$F$2:$F$1181=A65) *
        ISNUMBER(SEARCH("*HUB*", IM!$AC$2:$AC$1181)) *
        (IM!$X$2:$X$1181&gt;=$A$1) *
        (IM!$X$2:$X$1181&lt;=$B$1)*(Z65="HUB")
    ) &gt; 0
), "HUB", "")</f>
        <v/>
      </c>
      <c r="O65" s="397">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4">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5">
        <f t="array" ref="V65">IFERROR(INDEX(IM!$AM$2:$AM$9382, MATCH(1, (IM!$F$2:$F$9382=A65) * (ISNUMBER(SEARCH($F$1, IM!$AC$2:$AC$9382))), 0)), "")</f>
        <v/>
      </c>
      <c r="W65" s="228">
        <f>IF(AND(AA65&lt;&gt;"", AB65&lt;&gt;""), 2, IF(OR(AA65&lt;&gt;"", AB65&lt;&gt;""), 1, 0))</f>
        <v/>
      </c>
      <c r="X65" s="228" t="n"/>
      <c r="Y65" s="390">
        <f>IF(OR(S65="STAR", W65="", X65=""), W65,
"總數：" &amp; W65 &amp; CHAR(10) &amp;
"已維修：" &amp; X65 &amp; CHAR(10) &amp;
"未更換：" &amp; (W65 - X65))</f>
        <v/>
      </c>
      <c r="Z65" s="221">
        <f>IF(VLOOKUP(A65,'0919門市清單主檔'!B:AC,28,FALSE)=0,"",VLOOKUP(A65,'0919門市清單主檔'!B:AC,28,FALSE))</f>
        <v/>
      </c>
      <c r="AA65" s="326"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0">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4">
        <f t="array" ref="J66">IFERROR(INDEX(IM!$AM$2:$AM$9333, MATCH(1, (IM!$F$2:$F$9333=A66) * (ISNUMBER(SEARCH($C$1, IM!$AC$2:$AC$9333))), 0)), "")</f>
        <v/>
      </c>
      <c r="K66" s="316">
        <f t="array" ref="K66">SUMPRODUCT((IM!$F$2:$F$9181=A66)*(IM!$AD$2:$AD$9181="O")*(ISNUMBER(SEARCH($C$1, IM!$AC$2:$AC$9181))))</f>
        <v/>
      </c>
      <c r="L66" s="330">
        <f t="array" ref="L66">IF(K66&gt;0,IFERROR(HYPERLINK("#'IM'!AC"&amp;MATCH(1,(IM!$F$1:$F$6881=A66)*(ISNUMBER(SEARCH($C$1,IM!$AC$1:$AC$6881))),0),"檢核"),"未登錄"),"")</f>
        <v/>
      </c>
      <c r="M66" s="394">
        <f>Q66&amp;IF(AND(S66&lt;&gt;"",AND(Q66&lt;&gt;"")),$P$2,"")&amp;S66&amp;IF(U66&lt;&gt;"",$P$2,"")&amp;U66</f>
        <v/>
      </c>
      <c r="N66" s="283">
        <f t="array" ref="N66">IF(AND(
    SUMPRODUCT(
        (IM!$F$2:$F$1181=A66) *
        ISNUMBER(SEARCH("*HUB*", IM!$AC$2:$AC$1181)) *
        (IM!$X$2:$X$1181&gt;=$A$1) *
        (IM!$X$2:$X$1181&lt;=$B$1)*(Z66="HUB")
    ) &gt; 0
), "HUB", "")</f>
        <v/>
      </c>
      <c r="O66" s="397">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4">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5">
        <f t="array" ref="V66">IFERROR(INDEX(IM!$AM$2:$AM$9382, MATCH(1, (IM!$F$2:$F$9382=A66) * (ISNUMBER(SEARCH($F$1, IM!$AC$2:$AC$9382))), 0)), "")</f>
        <v/>
      </c>
      <c r="W66" s="228">
        <f>IF(AND(AA66&lt;&gt;"", AB66&lt;&gt;""), 2, IF(OR(AA66&lt;&gt;"", AB66&lt;&gt;""), 1, 0))</f>
        <v/>
      </c>
      <c r="X66" s="228" t="n"/>
      <c r="Y66" s="390">
        <f>IF(OR(S66="STAR", W66="", X66=""), W66,
"總數：" &amp; W66 &amp; CHAR(10) &amp;
"已維修：" &amp; X66 &amp; CHAR(10) &amp;
"未更換：" &amp; (W66 - X66))</f>
        <v/>
      </c>
      <c r="Z66" s="221">
        <f>IF(VLOOKUP(A66,'0919門市清單主檔'!B:AC,28,FALSE)=0,"",VLOOKUP(A66,'0919門市清單主檔'!B:AC,28,FALSE))</f>
        <v/>
      </c>
      <c r="AA66" s="326"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0">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4">
        <f t="array" ref="J67">IFERROR(INDEX(IM!$AM$2:$AM$9333, MATCH(1, (IM!$F$2:$F$9333=A67) * (ISNUMBER(SEARCH($C$1, IM!$AC$2:$AC$9333))), 0)), "")</f>
        <v/>
      </c>
      <c r="K67" s="316">
        <f t="array" ref="K67">SUMPRODUCT((IM!$F$2:$F$9181=A67)*(IM!$AD$2:$AD$9181="O")*(ISNUMBER(SEARCH($C$1, IM!$AC$2:$AC$9181))))</f>
        <v/>
      </c>
      <c r="L67" s="330">
        <f t="array" ref="L67">IF(K67&gt;0,IFERROR(HYPERLINK("#'IM'!AC"&amp;MATCH(1,(IM!$F$1:$F$6881=A67)*(ISNUMBER(SEARCH($C$1,IM!$AC$1:$AC$6881))),0),"檢核"),"未登錄"),"")</f>
        <v/>
      </c>
      <c r="M67" s="394">
        <f>Q67&amp;IF(AND(S67&lt;&gt;"",AND(Q67&lt;&gt;"")),$P$2,"")&amp;S67&amp;IF(U67&lt;&gt;"",$P$2,"")&amp;U67</f>
        <v/>
      </c>
      <c r="N67" s="283">
        <f t="array" ref="N67">IF(AND(
    SUMPRODUCT(
        (IM!$F$2:$F$1181=A67) *
        ISNUMBER(SEARCH("*HUB*", IM!$AC$2:$AC$1181)) *
        (IM!$X$2:$X$1181&gt;=$A$1) *
        (IM!$X$2:$X$1181&lt;=$B$1)*(Z67="HUB")
    ) &gt; 0
), "HUB", "")</f>
        <v/>
      </c>
      <c r="O67" s="397">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4">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5">
        <f t="array" ref="V67">IFERROR(INDEX(IM!$AM$2:$AM$9382, MATCH(1, (IM!$F$2:$F$9382=A67) * (ISNUMBER(SEARCH($F$1, IM!$AC$2:$AC$9382))), 0)), "")</f>
        <v/>
      </c>
      <c r="W67" s="228">
        <f>IF(AND(AA67&lt;&gt;"", AB67&lt;&gt;""), 2, IF(OR(AA67&lt;&gt;"", AB67&lt;&gt;""), 1, 0))</f>
        <v/>
      </c>
      <c r="X67" s="228" t="n"/>
      <c r="Y67" s="390">
        <f>IF(OR(S67="STAR", W67="", X67=""), W67,
"總數：" &amp; W67 &amp; CHAR(10) &amp;
"已維修：" &amp; X67 &amp; CHAR(10) &amp;
"未更換：" &amp; (W67 - X67))</f>
        <v/>
      </c>
      <c r="Z67" s="221">
        <f>IF(VLOOKUP(A67,'0919門市清單主檔'!B:AC,28,FALSE)=0,"",VLOOKUP(A67,'0919門市清單主檔'!B:AC,28,FALSE))</f>
        <v/>
      </c>
      <c r="AA67" s="326"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0">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4">
        <f t="array" ref="J68">IFERROR(INDEX(IM!$AM$2:$AM$9333, MATCH(1, (IM!$F$2:$F$9333=A68) * (ISNUMBER(SEARCH($C$1, IM!$AC$2:$AC$9333))), 0)), "")</f>
        <v/>
      </c>
      <c r="K68" s="316">
        <f t="array" ref="K68">SUMPRODUCT((IM!$F$2:$F$9181=A68)*(IM!$AD$2:$AD$9181="O")*(ISNUMBER(SEARCH($C$1, IM!$AC$2:$AC$9181))))</f>
        <v/>
      </c>
      <c r="L68" s="330">
        <f t="array" ref="L68">IF(K68&gt;0,IFERROR(HYPERLINK("#'IM'!AC"&amp;MATCH(1,(IM!$F$1:$F$6881=A68)*(ISNUMBER(SEARCH($C$1,IM!$AC$1:$AC$6881))),0),"檢核"),"未登錄"),"")</f>
        <v/>
      </c>
      <c r="M68" s="394">
        <f>Q68&amp;IF(AND(S68&lt;&gt;"",AND(Q68&lt;&gt;"")),$P$2,"")&amp;S68&amp;IF(U68&lt;&gt;"",$P$2,"")&amp;U68</f>
        <v/>
      </c>
      <c r="N68" s="283">
        <f t="array" ref="N68">IF(AND(
    SUMPRODUCT(
        (IM!$F$2:$F$1181=A68) *
        ISNUMBER(SEARCH("*HUB*", IM!$AC$2:$AC$1181)) *
        (IM!$X$2:$X$1181&gt;=$A$1) *
        (IM!$X$2:$X$1181&lt;=$B$1)*(Z68="HUB")
    ) &gt; 0
), "HUB", "")</f>
        <v/>
      </c>
      <c r="O68" s="397">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4">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5">
        <f t="array" ref="V68">IFERROR(INDEX(IM!$AM$2:$AM$9382, MATCH(1, (IM!$F$2:$F$9382=A68) * (ISNUMBER(SEARCH($F$1, IM!$AC$2:$AC$9382))), 0)), "")</f>
        <v/>
      </c>
      <c r="W68" s="228">
        <f>IF(AND(AA68&lt;&gt;"", AB68&lt;&gt;""), 2, IF(OR(AA68&lt;&gt;"", AB68&lt;&gt;""), 1, 0))</f>
        <v/>
      </c>
      <c r="X68" s="228" t="n"/>
      <c r="Y68" s="390">
        <f>IF(OR(S68="STAR", W68="", X68=""), W68,
"總數：" &amp; W68 &amp; CHAR(10) &amp;
"已維修：" &amp; X68 &amp; CHAR(10) &amp;
"未更換：" &amp; (W68 - X68))</f>
        <v/>
      </c>
      <c r="Z68" s="221">
        <f>IF(VLOOKUP(A68,'0919門市清單主檔'!B:AC,28,FALSE)=0,"",VLOOKUP(A68,'0919門市清單主檔'!B:AC,28,FALSE))</f>
        <v/>
      </c>
      <c r="AA68" s="326"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0">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4">
        <f t="array" ref="J69">IFERROR(INDEX(IM!$AM$2:$AM$9333, MATCH(1, (IM!$F$2:$F$9333=A69) * (ISNUMBER(SEARCH($C$1, IM!$AC$2:$AC$9333))), 0)), "")</f>
        <v/>
      </c>
      <c r="K69" s="316">
        <f t="array" ref="K69">SUMPRODUCT((IM!$F$2:$F$9181=A69)*(IM!$AD$2:$AD$9181="O")*(ISNUMBER(SEARCH($C$1, IM!$AC$2:$AC$9181))))</f>
        <v/>
      </c>
      <c r="L69" s="330">
        <f t="array" ref="L69">IF(K69&gt;0,IFERROR(HYPERLINK("#'IM'!AC"&amp;MATCH(1,(IM!$F$1:$F$6881=A69)*(ISNUMBER(SEARCH($C$1,IM!$AC$1:$AC$6881))),0),"檢核"),"未登錄"),"")</f>
        <v/>
      </c>
      <c r="M69" s="394">
        <f>Q69&amp;IF(AND(S69&lt;&gt;"",AND(Q69&lt;&gt;"")),$P$2,"")&amp;S69&amp;IF(U69&lt;&gt;"",$P$2,"")&amp;U69</f>
        <v/>
      </c>
      <c r="N69" s="283">
        <f t="array" ref="N69">IF(AND(
    SUMPRODUCT(
        (IM!$F$2:$F$1181=A69) *
        ISNUMBER(SEARCH("*HUB*", IM!$AC$2:$AC$1181)) *
        (IM!$X$2:$X$1181&gt;=$A$1) *
        (IM!$X$2:$X$1181&lt;=$B$1)*(Z69="HUB")
    ) &gt; 0
), "HUB", "")</f>
        <v/>
      </c>
      <c r="O69" s="397">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4">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5">
        <f t="array" ref="V69">IFERROR(INDEX(IM!$AM$2:$AM$9382, MATCH(1, (IM!$F$2:$F$9382=A69) * (ISNUMBER(SEARCH($F$1, IM!$AC$2:$AC$9382))), 0)), "")</f>
        <v/>
      </c>
      <c r="W69" s="228">
        <f>IF(AND(AA69&lt;&gt;"", AB69&lt;&gt;""), 2, IF(OR(AA69&lt;&gt;"", AB69&lt;&gt;""), 1, 0))</f>
        <v/>
      </c>
      <c r="X69" s="228" t="n"/>
      <c r="Y69" s="390">
        <f>IF(OR(S69="STAR", W69="", X69=""), W69,
"總數：" &amp; W69 &amp; CHAR(10) &amp;
"已維修：" &amp; X69 &amp; CHAR(10) &amp;
"未更換：" &amp; (W69 - X69))</f>
        <v/>
      </c>
      <c r="Z69" s="221">
        <f>IF(VLOOKUP(A69,'0919門市清單主檔'!B:AC,28,FALSE)=0,"",VLOOKUP(A69,'0919門市清單主檔'!B:AC,28,FALSE))</f>
        <v/>
      </c>
      <c r="AA69" s="326"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0">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4">
        <f t="array" ref="J70">IFERROR(INDEX(IM!$AM$2:$AM$9333, MATCH(1, (IM!$F$2:$F$9333=A70) * (ISNUMBER(SEARCH($C$1, IM!$AC$2:$AC$9333))), 0)), "")</f>
        <v/>
      </c>
      <c r="K70" s="316">
        <f t="array" ref="K70">SUMPRODUCT((IM!$F$2:$F$9181=A70)*(IM!$AD$2:$AD$9181="O")*(ISNUMBER(SEARCH($C$1, IM!$AC$2:$AC$9181))))</f>
        <v/>
      </c>
      <c r="L70" s="330">
        <f t="array" ref="L70">IF(K70&gt;0,IFERROR(HYPERLINK("#'IM'!AC"&amp;MATCH(1,(IM!$F$1:$F$6881=A70)*(ISNUMBER(SEARCH($C$1,IM!$AC$1:$AC$6881))),0),"檢核"),"未登錄"),"")</f>
        <v/>
      </c>
      <c r="M70" s="394">
        <f>Q70&amp;IF(AND(S70&lt;&gt;"",AND(Q70&lt;&gt;"")),$P$2,"")&amp;S70&amp;IF(U70&lt;&gt;"",$P$2,"")&amp;U70</f>
        <v/>
      </c>
      <c r="N70" s="283">
        <f t="array" ref="N70">IF(AND(
    SUMPRODUCT(
        (IM!$F$2:$F$1181=A70) *
        ISNUMBER(SEARCH("*HUB*", IM!$AC$2:$AC$1181)) *
        (IM!$X$2:$X$1181&gt;=$A$1) *
        (IM!$X$2:$X$1181&lt;=$B$1)*(Z70="HUB")
    ) &gt; 0
), "HUB", "")</f>
        <v/>
      </c>
      <c r="O70" s="397">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4">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5">
        <f t="array" ref="V70">IFERROR(INDEX(IM!$AM$2:$AM$9382, MATCH(1, (IM!$F$2:$F$9382=A70) * (ISNUMBER(SEARCH($F$1, IM!$AC$2:$AC$9382))), 0)), "")</f>
        <v/>
      </c>
      <c r="W70" s="228">
        <f>IF(AND(AA70&lt;&gt;"", AB70&lt;&gt;""), 2, IF(OR(AA70&lt;&gt;"", AB70&lt;&gt;""), 1, 0))</f>
        <v/>
      </c>
      <c r="X70" s="228" t="n"/>
      <c r="Y70" s="390">
        <f>IF(OR(S70="STAR", W70="", X70=""), W70,
"總數：" &amp; W70 &amp; CHAR(10) &amp;
"已維修：" &amp; X70 &amp; CHAR(10) &amp;
"未更換：" &amp; (W70 - X70))</f>
        <v/>
      </c>
      <c r="Z70" s="221">
        <f>IF(VLOOKUP(A70,'0919門市清單主檔'!B:AC,28,FALSE)=0,"",VLOOKUP(A70,'0919門市清單主檔'!B:AC,28,FALSE))</f>
        <v/>
      </c>
      <c r="AA70" s="326"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0">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4">
        <f t="array" ref="J71">IFERROR(INDEX(IM!$AM$2:$AM$9333, MATCH(1, (IM!$F$2:$F$9333=A71) * (ISNUMBER(SEARCH($C$1, IM!$AC$2:$AC$9333))), 0)), "")</f>
        <v/>
      </c>
      <c r="K71" s="316">
        <f t="array" ref="K71">SUMPRODUCT((IM!$F$2:$F$9181=A71)*(IM!$AD$2:$AD$9181="O")*(ISNUMBER(SEARCH($C$1, IM!$AC$2:$AC$9181))))</f>
        <v/>
      </c>
      <c r="L71" s="330">
        <f t="array" ref="L71">IF(K71&gt;0,IFERROR(HYPERLINK("#'IM'!AC"&amp;MATCH(1,(IM!$F$1:$F$6881=A71)*(ISNUMBER(SEARCH($C$1,IM!$AC$1:$AC$6881))),0),"檢核"),"未登錄"),"")</f>
        <v/>
      </c>
      <c r="M71" s="394">
        <f>Q71&amp;IF(AND(S71&lt;&gt;"",AND(Q71&lt;&gt;"")),$P$2,"")&amp;S71&amp;IF(U71&lt;&gt;"",$P$2,"")&amp;U71</f>
        <v/>
      </c>
      <c r="N71" s="283">
        <f t="array" ref="N71">IF(AND(
    SUMPRODUCT(
        (IM!$F$2:$F$1181=A71) *
        ISNUMBER(SEARCH("*HUB*", IM!$AC$2:$AC$1181)) *
        (IM!$X$2:$X$1181&gt;=$A$1) *
        (IM!$X$2:$X$1181&lt;=$B$1)*(Z71="HUB")
    ) &gt; 0
), "HUB", "")</f>
        <v/>
      </c>
      <c r="O71" s="397">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4">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5">
        <f t="array" ref="V71">IFERROR(INDEX(IM!$AM$2:$AM$9382, MATCH(1, (IM!$F$2:$F$9382=A71) * (ISNUMBER(SEARCH($F$1, IM!$AC$2:$AC$9382))), 0)), "")</f>
        <v/>
      </c>
      <c r="W71" s="228">
        <f>IF(AND(AA71&lt;&gt;"", AB71&lt;&gt;""), 2, IF(OR(AA71&lt;&gt;"", AB71&lt;&gt;""), 1, 0))</f>
        <v/>
      </c>
      <c r="X71" s="228" t="n"/>
      <c r="Y71" s="390">
        <f>IF(OR(S71="STAR", W71="", X71=""), W71,
"總數：" &amp; W71 &amp; CHAR(10) &amp;
"已維修：" &amp; X71 &amp; CHAR(10) &amp;
"未更換：" &amp; (W71 - X71))</f>
        <v/>
      </c>
      <c r="Z71" s="221">
        <f>IF(VLOOKUP(A71,'0919門市清單主檔'!B:AC,28,FALSE)=0,"",VLOOKUP(A71,'0919門市清單主檔'!B:AC,28,FALSE))</f>
        <v/>
      </c>
      <c r="AA71" s="326"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0">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4">
        <f t="array" ref="J72">IFERROR(INDEX(IM!$AM$2:$AM$9333, MATCH(1, (IM!$F$2:$F$9333=A72) * (ISNUMBER(SEARCH($C$1, IM!$AC$2:$AC$9333))), 0)), "")</f>
        <v/>
      </c>
      <c r="K72" s="316">
        <f t="array" ref="K72">SUMPRODUCT((IM!$F$2:$F$9181=A72)*(IM!$AD$2:$AD$9181="O")*(ISNUMBER(SEARCH($C$1, IM!$AC$2:$AC$9181))))</f>
        <v/>
      </c>
      <c r="L72" s="330">
        <f t="array" ref="L72">IF(K72&gt;0,IFERROR(HYPERLINK("#'IM'!AC"&amp;MATCH(1,(IM!$F$1:$F$6881=A72)*(ISNUMBER(SEARCH($C$1,IM!$AC$1:$AC$6881))),0),"檢核"),"未登錄"),"")</f>
        <v/>
      </c>
      <c r="M72" s="394">
        <f>Q72&amp;IF(AND(S72&lt;&gt;"",AND(Q72&lt;&gt;"")),$P$2,"")&amp;S72&amp;IF(U72&lt;&gt;"",$P$2,"")&amp;U72</f>
        <v/>
      </c>
      <c r="N72" s="283">
        <f t="array" ref="N72">IF(AND(
    SUMPRODUCT(
        (IM!$F$2:$F$1181=A72) *
        ISNUMBER(SEARCH("*HUB*", IM!$AC$2:$AC$1181)) *
        (IM!$X$2:$X$1181&gt;=$A$1) *
        (IM!$X$2:$X$1181&lt;=$B$1)*(Z72="HUB")
    ) &gt; 0
), "HUB", "")</f>
        <v/>
      </c>
      <c r="O72" s="397">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4">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5">
        <f t="array" ref="V72">IFERROR(INDEX(IM!$AM$2:$AM$9382, MATCH(1, (IM!$F$2:$F$9382=A72) * (ISNUMBER(SEARCH($F$1, IM!$AC$2:$AC$9382))), 0)), "")</f>
        <v/>
      </c>
      <c r="W72" s="228">
        <f>IF(AND(AA72&lt;&gt;"", AB72&lt;&gt;""), 2, IF(OR(AA72&lt;&gt;"", AB72&lt;&gt;""), 1, 0))</f>
        <v/>
      </c>
      <c r="X72" s="228" t="n"/>
      <c r="Y72" s="390">
        <f>IF(OR(S72="STAR", W72="", X72=""), W72,
"總數：" &amp; W72 &amp; CHAR(10) &amp;
"已維修：" &amp; X72 &amp; CHAR(10) &amp;
"未更換：" &amp; (W72 - X72))</f>
        <v/>
      </c>
      <c r="Z72" s="221">
        <f>IF(VLOOKUP(A72,'0919門市清單主檔'!B:AC,28,FALSE)=0,"",VLOOKUP(A72,'0919門市清單主檔'!B:AC,28,FALSE))</f>
        <v/>
      </c>
      <c r="AA72" s="326"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0">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4">
        <f t="array" ref="J73">IFERROR(INDEX(IM!$AM$2:$AM$9333, MATCH(1, (IM!$F$2:$F$9333=A73) * (ISNUMBER(SEARCH($C$1, IM!$AC$2:$AC$9333))), 0)), "")</f>
        <v/>
      </c>
      <c r="K73" s="316">
        <f t="array" ref="K73">SUMPRODUCT((IM!$F$2:$F$9181=A73)*(IM!$AD$2:$AD$9181="O")*(ISNUMBER(SEARCH($C$1, IM!$AC$2:$AC$9181))))</f>
        <v/>
      </c>
      <c r="L73" s="330">
        <f t="array" ref="L73">IF(K73&gt;0,IFERROR(HYPERLINK("#'IM'!AC"&amp;MATCH(1,(IM!$F$1:$F$6881=A73)*(ISNUMBER(SEARCH($C$1,IM!$AC$1:$AC$6881))),0),"檢核"),"未登錄"),"")</f>
        <v/>
      </c>
      <c r="M73" s="394">
        <f>Q73&amp;IF(AND(S73&lt;&gt;"",AND(Q73&lt;&gt;"")),$P$2,"")&amp;S73&amp;IF(U73&lt;&gt;"",$P$2,"")&amp;U73</f>
        <v/>
      </c>
      <c r="N73" s="283">
        <f t="array" ref="N73">IF(AND(
    SUMPRODUCT(
        (IM!$F$2:$F$1181=A73) *
        ISNUMBER(SEARCH("*HUB*", IM!$AC$2:$AC$1181)) *
        (IM!$X$2:$X$1181&gt;=$A$1) *
        (IM!$X$2:$X$1181&lt;=$B$1)*(Z73="HUB")
    ) &gt; 0
), "HUB", "")</f>
        <v/>
      </c>
      <c r="O73" s="397">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4">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5">
        <f t="array" ref="V73">IFERROR(INDEX(IM!$AM$2:$AM$9382, MATCH(1, (IM!$F$2:$F$9382=A73) * (ISNUMBER(SEARCH($F$1, IM!$AC$2:$AC$9382))), 0)), "")</f>
        <v/>
      </c>
      <c r="W73" s="228">
        <f>IF(AND(AA73&lt;&gt;"", AB73&lt;&gt;""), 2, IF(OR(AA73&lt;&gt;"", AB73&lt;&gt;""), 1, 0))</f>
        <v/>
      </c>
      <c r="X73" s="228" t="n"/>
      <c r="Y73" s="390">
        <f>IF(OR(S73="STAR", W73="", X73=""), W73,
"總數：" &amp; W73 &amp; CHAR(10) &amp;
"已維修：" &amp; X73 &amp; CHAR(10) &amp;
"未更換：" &amp; (W73 - X73))</f>
        <v/>
      </c>
      <c r="Z73" s="221">
        <f>IF(VLOOKUP(A73,'0919門市清單主檔'!B:AC,28,FALSE)=0,"",VLOOKUP(A73,'0919門市清單主檔'!B:AC,28,FALSE))</f>
        <v/>
      </c>
      <c r="AA73" s="326"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0">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4">
        <f t="array" ref="J74">IFERROR(INDEX(IM!$AM$2:$AM$9333, MATCH(1, (IM!$F$2:$F$9333=A74) * (ISNUMBER(SEARCH($C$1, IM!$AC$2:$AC$9333))), 0)), "")</f>
        <v/>
      </c>
      <c r="K74" s="316">
        <f t="array" ref="K74">SUMPRODUCT((IM!$F$2:$F$9181=A74)*(IM!$AD$2:$AD$9181="O")*(ISNUMBER(SEARCH($C$1, IM!$AC$2:$AC$9181))))</f>
        <v/>
      </c>
      <c r="L74" s="330">
        <f t="array" ref="L74">IF(K74&gt;0,IFERROR(HYPERLINK("#'IM'!AC"&amp;MATCH(1,(IM!$F$1:$F$6881=A74)*(ISNUMBER(SEARCH($C$1,IM!$AC$1:$AC$6881))),0),"檢核"),"未登錄"),"")</f>
        <v/>
      </c>
      <c r="M74" s="394">
        <f>Q74&amp;IF(AND(S74&lt;&gt;"",AND(Q74&lt;&gt;"")),$P$2,"")&amp;S74&amp;IF(U74&lt;&gt;"",$P$2,"")&amp;U74</f>
        <v/>
      </c>
      <c r="N74" s="283">
        <f t="array" ref="N74">IF(AND(
    SUMPRODUCT(
        (IM!$F$2:$F$1181=A74) *
        ISNUMBER(SEARCH("*HUB*", IM!$AC$2:$AC$1181)) *
        (IM!$X$2:$X$1181&gt;=$A$1) *
        (IM!$X$2:$X$1181&lt;=$B$1)*(Z74="HUB")
    ) &gt; 0
), "HUB", "")</f>
        <v/>
      </c>
      <c r="O74" s="397">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4">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5">
        <f t="array" ref="V74">IFERROR(INDEX(IM!$AM$2:$AM$9382, MATCH(1, (IM!$F$2:$F$9382=A74) * (ISNUMBER(SEARCH($F$1, IM!$AC$2:$AC$9382))), 0)), "")</f>
        <v/>
      </c>
      <c r="W74" s="228">
        <f>IF(AND(AA74&lt;&gt;"", AB74&lt;&gt;""), 2, IF(OR(AA74&lt;&gt;"", AB74&lt;&gt;""), 1, 0))</f>
        <v/>
      </c>
      <c r="X74" s="228" t="n"/>
      <c r="Y74" s="390">
        <f>IF(OR(S74="STAR", W74="", X74=""), W74,
"總數：" &amp; W74 &amp; CHAR(10) &amp;
"已維修：" &amp; X74 &amp; CHAR(10) &amp;
"未更換：" &amp; (W74 - X74))</f>
        <v/>
      </c>
      <c r="Z74" s="221">
        <f>IF(VLOOKUP(A74,'0919門市清單主檔'!B:AC,28,FALSE)=0,"",VLOOKUP(A74,'0919門市清單主檔'!B:AC,28,FALSE))</f>
        <v/>
      </c>
      <c r="AA74" s="326"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0">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4">
        <f t="array" ref="J75">IFERROR(INDEX(IM!$AM$2:$AM$9333, MATCH(1, (IM!$F$2:$F$9333=A75) * (ISNUMBER(SEARCH($C$1, IM!$AC$2:$AC$9333))), 0)), "")</f>
        <v/>
      </c>
      <c r="K75" s="316">
        <f t="array" ref="K75">SUMPRODUCT((IM!$F$2:$F$9181=A75)*(IM!$AD$2:$AD$9181="O")*(ISNUMBER(SEARCH($C$1, IM!$AC$2:$AC$9181))))</f>
        <v/>
      </c>
      <c r="L75" s="330">
        <f t="array" ref="L75">IF(K75&gt;0,IFERROR(HYPERLINK("#'IM'!AC"&amp;MATCH(1,(IM!$F$1:$F$6881=A75)*(ISNUMBER(SEARCH($C$1,IM!$AC$1:$AC$6881))),0),"檢核"),"未登錄"),"")</f>
        <v/>
      </c>
      <c r="M75" s="394">
        <f>Q75&amp;IF(AND(S75&lt;&gt;"",AND(Q75&lt;&gt;"")),$P$2,"")&amp;S75&amp;IF(U75&lt;&gt;"",$P$2,"")&amp;U75</f>
        <v/>
      </c>
      <c r="N75" s="283">
        <f t="array" ref="N75">IF(AND(
    SUMPRODUCT(
        (IM!$F$2:$F$1181=A75) *
        ISNUMBER(SEARCH("*HUB*", IM!$AC$2:$AC$1181)) *
        (IM!$X$2:$X$1181&gt;=$A$1) *
        (IM!$X$2:$X$1181&lt;=$B$1)*(Z75="HUB")
    ) &gt; 0
), "HUB", "")</f>
        <v/>
      </c>
      <c r="O75" s="397">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4">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5">
        <f t="array" ref="V75">IFERROR(INDEX(IM!$AM$2:$AM$9382, MATCH(1, (IM!$F$2:$F$9382=A75) * (ISNUMBER(SEARCH($F$1, IM!$AC$2:$AC$9382))), 0)), "")</f>
        <v/>
      </c>
      <c r="W75" s="228">
        <f>IF(AND(AA75&lt;&gt;"", AB75&lt;&gt;""), 2, IF(OR(AA75&lt;&gt;"", AB75&lt;&gt;""), 1, 0))</f>
        <v/>
      </c>
      <c r="X75" s="228" t="n"/>
      <c r="Y75" s="390">
        <f>IF(OR(S75="STAR", W75="", X75=""), W75,
"總數：" &amp; W75 &amp; CHAR(10) &amp;
"已維修：" &amp; X75 &amp; CHAR(10) &amp;
"未更換：" &amp; (W75 - X75))</f>
        <v/>
      </c>
      <c r="Z75" s="221">
        <f>IF(VLOOKUP(A75,'0919門市清單主檔'!B:AC,28,FALSE)=0,"",VLOOKUP(A75,'0919門市清單主檔'!B:AC,28,FALSE))</f>
        <v/>
      </c>
      <c r="AA75" s="326"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0">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4">
        <f t="array" ref="J76">IFERROR(INDEX(IM!$AM$2:$AM$9333, MATCH(1, (IM!$F$2:$F$9333=A76) * (ISNUMBER(SEARCH($C$1, IM!$AC$2:$AC$9333))), 0)), "")</f>
        <v/>
      </c>
      <c r="K76" s="316">
        <f t="array" ref="K76">SUMPRODUCT((IM!$F$2:$F$9181=A76)*(IM!$AD$2:$AD$9181="O")*(ISNUMBER(SEARCH($C$1, IM!$AC$2:$AC$9181))))</f>
        <v/>
      </c>
      <c r="L76" s="330">
        <f t="array" ref="L76">IF(K76&gt;0,IFERROR(HYPERLINK("#'IM'!AC"&amp;MATCH(1,(IM!$F$1:$F$6881=A76)*(ISNUMBER(SEARCH($C$1,IM!$AC$1:$AC$6881))),0),"檢核"),"未登錄"),"")</f>
        <v/>
      </c>
      <c r="M76" s="394">
        <f>Q76&amp;IF(AND(S76&lt;&gt;"",AND(Q76&lt;&gt;"")),$P$2,"")&amp;S76&amp;IF(U76&lt;&gt;"",$P$2,"")&amp;U76</f>
        <v/>
      </c>
      <c r="N76" s="283">
        <f t="array" ref="N76">IF(AND(
    SUMPRODUCT(
        (IM!$F$2:$F$1181=A76) *
        ISNUMBER(SEARCH("*HUB*", IM!$AC$2:$AC$1181)) *
        (IM!$X$2:$X$1181&gt;=$A$1) *
        (IM!$X$2:$X$1181&lt;=$B$1)*(Z76="HUB")
    ) &gt; 0
), "HUB", "")</f>
        <v/>
      </c>
      <c r="O76" s="397">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4">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5">
        <f t="array" ref="V76">IFERROR(INDEX(IM!$AM$2:$AM$9382, MATCH(1, (IM!$F$2:$F$9382=A76) * (ISNUMBER(SEARCH($F$1, IM!$AC$2:$AC$9382))), 0)), "")</f>
        <v/>
      </c>
      <c r="W76" s="228">
        <f>IF(AND(AA76&lt;&gt;"", AB76&lt;&gt;""), 2, IF(OR(AA76&lt;&gt;"", AB76&lt;&gt;""), 1, 0))</f>
        <v/>
      </c>
      <c r="X76" s="228" t="n"/>
      <c r="Y76" s="390">
        <f>IF(OR(S76="STAR", W76="", X76=""), W76,
"總數：" &amp; W76 &amp; CHAR(10) &amp;
"已維修：" &amp; X76 &amp; CHAR(10) &amp;
"未更換：" &amp; (W76 - X76))</f>
        <v/>
      </c>
      <c r="Z76" s="221">
        <f>IF(VLOOKUP(A76,'0919門市清單主檔'!B:AC,28,FALSE)=0,"",VLOOKUP(A76,'0919門市清單主檔'!B:AC,28,FALSE))</f>
        <v/>
      </c>
      <c r="AA76" s="326"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0">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4">
        <f t="array" ref="J77">IFERROR(INDEX(IM!$AM$2:$AM$9333, MATCH(1, (IM!$F$2:$F$9333=A77) * (ISNUMBER(SEARCH($C$1, IM!$AC$2:$AC$9333))), 0)), "")</f>
        <v/>
      </c>
      <c r="K77" s="316">
        <f t="array" ref="K77">SUMPRODUCT((IM!$F$2:$F$9181=A77)*(IM!$AD$2:$AD$9181="O")*(ISNUMBER(SEARCH($C$1, IM!$AC$2:$AC$9181))))</f>
        <v/>
      </c>
      <c r="L77" s="330">
        <f t="array" ref="L77">IF(K77&gt;0,IFERROR(HYPERLINK("#'IM'!AC"&amp;MATCH(1,(IM!$F$1:$F$6881=A77)*(ISNUMBER(SEARCH($C$1,IM!$AC$1:$AC$6881))),0),"檢核"),"未登錄"),"")</f>
        <v/>
      </c>
      <c r="M77" s="394">
        <f>Q77&amp;IF(AND(S77&lt;&gt;"",AND(Q77&lt;&gt;"")),$P$2,"")&amp;S77&amp;IF(U77&lt;&gt;"",$P$2,"")&amp;U77</f>
        <v/>
      </c>
      <c r="N77" s="283">
        <f t="array" ref="N77">IF(AND(
    SUMPRODUCT(
        (IM!$F$2:$F$1181=A77) *
        ISNUMBER(SEARCH("*HUB*", IM!$AC$2:$AC$1181)) *
        (IM!$X$2:$X$1181&gt;=$A$1) *
        (IM!$X$2:$X$1181&lt;=$B$1)*(Z77="HUB")
    ) &gt; 0
), "HUB", "")</f>
        <v/>
      </c>
      <c r="O77" s="397">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4">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5">
        <f t="array" ref="V77">IFERROR(INDEX(IM!$AM$2:$AM$9382, MATCH(1, (IM!$F$2:$F$9382=A77) * (ISNUMBER(SEARCH($F$1, IM!$AC$2:$AC$9382))), 0)), "")</f>
        <v/>
      </c>
      <c r="W77" s="228">
        <f>IF(AND(AA77&lt;&gt;"", AB77&lt;&gt;""), 2, IF(OR(AA77&lt;&gt;"", AB77&lt;&gt;""), 1, 0))</f>
        <v/>
      </c>
      <c r="X77" s="228" t="n">
        <v>1</v>
      </c>
      <c r="Y77" s="390">
        <f>IF(OR(S77="STAR", W77="", X77=""), W77,
"總數：" &amp; W77 &amp; CHAR(10) &amp;
"已維修：" &amp; X77 &amp; CHAR(10) &amp;
"未更換：" &amp; (W77 - X77))</f>
        <v/>
      </c>
      <c r="Z77" s="221">
        <f>IF(VLOOKUP(A77,'0919門市清單主檔'!B:AC,28,FALSE)=0,"",VLOOKUP(A77,'0919門市清單主檔'!B:AC,28,FALSE))</f>
        <v/>
      </c>
      <c r="AA77" s="326"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0">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4">
        <f t="array" ref="J78">IFERROR(INDEX(IM!$AM$2:$AM$9333, MATCH(1, (IM!$F$2:$F$9333=A78) * (ISNUMBER(SEARCH($C$1, IM!$AC$2:$AC$9333))), 0)), "")</f>
        <v/>
      </c>
      <c r="K78" s="316">
        <f t="array" ref="K78">SUMPRODUCT((IM!$F$2:$F$9181=A78)*(IM!$AD$2:$AD$9181="O")*(ISNUMBER(SEARCH($C$1, IM!$AC$2:$AC$9181))))</f>
        <v/>
      </c>
      <c r="L78" s="330">
        <f t="array" ref="L78">IF(K78&gt;0,IFERROR(HYPERLINK("#'IM'!AC"&amp;MATCH(1,(IM!$F$1:$F$6881=A78)*(ISNUMBER(SEARCH($C$1,IM!$AC$1:$AC$6881))),0),"檢核"),"未登錄"),"")</f>
        <v/>
      </c>
      <c r="M78" s="394">
        <f>Q78&amp;IF(AND(S78&lt;&gt;"",AND(Q78&lt;&gt;"")),$P$2,"")&amp;S78&amp;IF(U78&lt;&gt;"",$P$2,"")&amp;U78</f>
        <v/>
      </c>
      <c r="N78" s="283">
        <f t="array" ref="N78">IF(AND(
    SUMPRODUCT(
        (IM!$F$2:$F$1181=A78) *
        ISNUMBER(SEARCH("*HUB*", IM!$AC$2:$AC$1181)) *
        (IM!$X$2:$X$1181&gt;=$A$1) *
        (IM!$X$2:$X$1181&lt;=$B$1)*(Z78="HUB")
    ) &gt; 0
), "HUB", "")</f>
        <v/>
      </c>
      <c r="O78" s="397">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4">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5">
        <f t="array" ref="V78">IFERROR(INDEX(IM!$AM$2:$AM$9382, MATCH(1, (IM!$F$2:$F$9382=A78) * (ISNUMBER(SEARCH($F$1, IM!$AC$2:$AC$9382))), 0)), "")</f>
        <v/>
      </c>
      <c r="W78" s="228">
        <f>IF(AND(AA78&lt;&gt;"", AB78&lt;&gt;""), 2, IF(OR(AA78&lt;&gt;"", AB78&lt;&gt;""), 1, 0))</f>
        <v/>
      </c>
      <c r="X78" s="228" t="n"/>
      <c r="Y78" s="390">
        <f>IF(OR(S78="STAR", W78="", X78=""), W78,
"總數：" &amp; W78 &amp; CHAR(10) &amp;
"已維修：" &amp; X78 &amp; CHAR(10) &amp;
"未更換：" &amp; (W78 - X78))</f>
        <v/>
      </c>
      <c r="Z78" s="221">
        <f>IF(VLOOKUP(A78,'0919門市清單主檔'!B:AC,28,FALSE)=0,"",VLOOKUP(A78,'0919門市清單主檔'!B:AC,28,FALSE))</f>
        <v/>
      </c>
      <c r="AA78" s="326"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0">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4">
        <f t="array" ref="J79">IFERROR(INDEX(IM!$AM$2:$AM$9333, MATCH(1, (IM!$F$2:$F$9333=A79) * (ISNUMBER(SEARCH($C$1, IM!$AC$2:$AC$9333))), 0)), "")</f>
        <v/>
      </c>
      <c r="K79" s="316">
        <f t="array" ref="K79">SUMPRODUCT((IM!$F$2:$F$9181=A79)*(IM!$AD$2:$AD$9181="O")*(ISNUMBER(SEARCH($C$1, IM!$AC$2:$AC$9181))))</f>
        <v/>
      </c>
      <c r="L79" s="330">
        <f t="array" ref="L79">IF(K79&gt;0,IFERROR(HYPERLINK("#'IM'!AC"&amp;MATCH(1,(IM!$F$1:$F$6881=A79)*(ISNUMBER(SEARCH($C$1,IM!$AC$1:$AC$6881))),0),"檢核"),"未登錄"),"")</f>
        <v/>
      </c>
      <c r="M79" s="394">
        <f>Q79&amp;IF(AND(S79&lt;&gt;"",AND(Q79&lt;&gt;"")),$P$2,"")&amp;S79&amp;IF(U79&lt;&gt;"",$P$2,"")&amp;U79</f>
        <v/>
      </c>
      <c r="N79" s="283">
        <f t="array" ref="N79">IF(AND(
    SUMPRODUCT(
        (IM!$F$2:$F$1181=A79) *
        ISNUMBER(SEARCH("*HUB*", IM!$AC$2:$AC$1181)) *
        (IM!$X$2:$X$1181&gt;=$A$1) *
        (IM!$X$2:$X$1181&lt;=$B$1)*(Z79="HUB")
    ) &gt; 0
), "HUB", "")</f>
        <v/>
      </c>
      <c r="O79" s="397">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4">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5">
        <f t="array" ref="V79">IFERROR(INDEX(IM!$AM$2:$AM$9382, MATCH(1, (IM!$F$2:$F$9382=A79) * (ISNUMBER(SEARCH($F$1, IM!$AC$2:$AC$9382))), 0)), "")</f>
        <v/>
      </c>
      <c r="W79" s="228">
        <f>IF(AND(AA79&lt;&gt;"", AB79&lt;&gt;""), 2, IF(OR(AA79&lt;&gt;"", AB79&lt;&gt;""), 1, 0))</f>
        <v/>
      </c>
      <c r="X79" s="228" t="n"/>
      <c r="Y79" s="390">
        <f>IF(OR(S79="STAR", W79="", X79=""), W79,
"總數：" &amp; W79 &amp; CHAR(10) &amp;
"已維修：" &amp; X79 &amp; CHAR(10) &amp;
"未更換：" &amp; (W79 - X79))</f>
        <v/>
      </c>
      <c r="Z79" s="221">
        <f>IF(VLOOKUP(A79,'0919門市清單主檔'!B:AC,28,FALSE)=0,"",VLOOKUP(A79,'0919門市清單主檔'!B:AC,28,FALSE))</f>
        <v/>
      </c>
      <c r="AA79" s="326"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0">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4">
        <f t="array" ref="J80">IFERROR(INDEX(IM!$AM$2:$AM$9333, MATCH(1, (IM!$F$2:$F$9333=A80) * (ISNUMBER(SEARCH($C$1, IM!$AC$2:$AC$9333))), 0)), "")</f>
        <v/>
      </c>
      <c r="K80" s="316">
        <f t="array" ref="K80">SUMPRODUCT((IM!$F$2:$F$9181=A80)*(IM!$AD$2:$AD$9181="O")*(ISNUMBER(SEARCH($C$1, IM!$AC$2:$AC$9181))))</f>
        <v/>
      </c>
      <c r="L80" s="330">
        <f t="array" ref="L80">IF(K80&gt;0,IFERROR(HYPERLINK("#'IM'!AC"&amp;MATCH(1,(IM!$F$1:$F$6881=A80)*(ISNUMBER(SEARCH($C$1,IM!$AC$1:$AC$6881))),0),"檢核"),"未登錄"),"")</f>
        <v/>
      </c>
      <c r="M80" s="394">
        <f>Q80&amp;IF(AND(S80&lt;&gt;"",AND(Q80&lt;&gt;"")),$P$2,"")&amp;S80&amp;IF(U80&lt;&gt;"",$P$2,"")&amp;U80</f>
        <v/>
      </c>
      <c r="N80" s="283">
        <f t="array" ref="N80">IF(AND(
    SUMPRODUCT(
        (IM!$F$2:$F$1181=A80) *
        ISNUMBER(SEARCH("*HUB*", IM!$AC$2:$AC$1181)) *
        (IM!$X$2:$X$1181&gt;=$A$1) *
        (IM!$X$2:$X$1181&lt;=$B$1)*(Z80="HUB")
    ) &gt; 0
), "HUB", "")</f>
        <v/>
      </c>
      <c r="O80" s="397">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4">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5">
        <f t="array" ref="V80">IFERROR(INDEX(IM!$AM$2:$AM$9382, MATCH(1, (IM!$F$2:$F$9382=A80) * (ISNUMBER(SEARCH($F$1, IM!$AC$2:$AC$9382))), 0)), "")</f>
        <v/>
      </c>
      <c r="W80" s="228">
        <f>IF(AND(AA80&lt;&gt;"", AB80&lt;&gt;""), 2, IF(OR(AA80&lt;&gt;"", AB80&lt;&gt;""), 1, 0))</f>
        <v/>
      </c>
      <c r="X80" s="228" t="n"/>
      <c r="Y80" s="390">
        <f>IF(OR(S80="STAR", W80="", X80=""), W80,
"總數：" &amp; W80 &amp; CHAR(10) &amp;
"已維修：" &amp; X80 &amp; CHAR(10) &amp;
"未更換：" &amp; (W80 - X80))</f>
        <v/>
      </c>
      <c r="Z80" s="221">
        <f>IF(VLOOKUP(A80,'0919門市清單主檔'!B:AC,28,FALSE)=0,"",VLOOKUP(A80,'0919門市清單主檔'!B:AC,28,FALSE))</f>
        <v/>
      </c>
      <c r="AA80" s="326"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0">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4">
        <f t="array" ref="J81">IFERROR(INDEX(IM!$AM$2:$AM$9333, MATCH(1, (IM!$F$2:$F$9333=A81) * (ISNUMBER(SEARCH($C$1, IM!$AC$2:$AC$9333))), 0)), "")</f>
        <v/>
      </c>
      <c r="K81" s="316">
        <f t="array" ref="K81">SUMPRODUCT((IM!$F$2:$F$9181=A81)*(IM!$AD$2:$AD$9181="O")*(ISNUMBER(SEARCH($C$1, IM!$AC$2:$AC$9181))))</f>
        <v/>
      </c>
      <c r="L81" s="330">
        <f t="array" ref="L81">IF(K81&gt;0,IFERROR(HYPERLINK("#'IM'!AC"&amp;MATCH(1,(IM!$F$1:$F$6881=A81)*(ISNUMBER(SEARCH($C$1,IM!$AC$1:$AC$6881))),0),"檢核"),"未登錄"),"")</f>
        <v/>
      </c>
      <c r="M81" s="394">
        <f>Q81&amp;IF(AND(S81&lt;&gt;"",AND(Q81&lt;&gt;"")),$P$2,"")&amp;S81&amp;IF(U81&lt;&gt;"",$P$2,"")&amp;U81</f>
        <v/>
      </c>
      <c r="N81" s="283">
        <f t="array" ref="N81">IF(AND(
    SUMPRODUCT(
        (IM!$F$2:$F$1181=A81) *
        ISNUMBER(SEARCH("*HUB*", IM!$AC$2:$AC$1181)) *
        (IM!$X$2:$X$1181&gt;=$A$1) *
        (IM!$X$2:$X$1181&lt;=$B$1)*(Z81="HUB")
    ) &gt; 0
), "HUB", "")</f>
        <v/>
      </c>
      <c r="O81" s="397">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4">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5">
        <f t="array" ref="V81">IFERROR(INDEX(IM!$AM$2:$AM$9382, MATCH(1, (IM!$F$2:$F$9382=A81) * (ISNUMBER(SEARCH($F$1, IM!$AC$2:$AC$9382))), 0)), "")</f>
        <v/>
      </c>
      <c r="W81" s="228">
        <f>IF(AND(AA81&lt;&gt;"", AB81&lt;&gt;""), 2, IF(OR(AA81&lt;&gt;"", AB81&lt;&gt;""), 1, 0))</f>
        <v/>
      </c>
      <c r="X81" s="228" t="n"/>
      <c r="Y81" s="390">
        <f>IF(OR(S81="STAR", W81="", X81=""), W81,
"總數：" &amp; W81 &amp; CHAR(10) &amp;
"已維修：" &amp; X81 &amp; CHAR(10) &amp;
"未更換：" &amp; (W81 - X81))</f>
        <v/>
      </c>
      <c r="Z81" s="221">
        <f>IF(VLOOKUP(A81,'0919門市清單主檔'!B:AC,28,FALSE)=0,"",VLOOKUP(A81,'0919門市清單主檔'!B:AC,28,FALSE))</f>
        <v/>
      </c>
      <c r="AA81" s="326"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0">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4">
        <f t="array" ref="J82">IFERROR(INDEX(IM!$AM$2:$AM$9333, MATCH(1, (IM!$F$2:$F$9333=A82) * (ISNUMBER(SEARCH($C$1, IM!$AC$2:$AC$9333))), 0)), "")</f>
        <v/>
      </c>
      <c r="K82" s="316">
        <f t="array" ref="K82">SUMPRODUCT((IM!$F$2:$F$9181=A82)*(IM!$AD$2:$AD$9181="O")*(ISNUMBER(SEARCH($C$1, IM!$AC$2:$AC$9181))))</f>
        <v/>
      </c>
      <c r="L82" s="330">
        <f t="array" ref="L82">IF(K82&gt;0,IFERROR(HYPERLINK("#'IM'!AC"&amp;MATCH(1,(IM!$F$1:$F$6881=A82)*(ISNUMBER(SEARCH($C$1,IM!$AC$1:$AC$6881))),0),"檢核"),"未登錄"),"")</f>
        <v/>
      </c>
      <c r="M82" s="394">
        <f>Q82&amp;IF(AND(S82&lt;&gt;"",AND(Q82&lt;&gt;"")),$P$2,"")&amp;S82&amp;IF(U82&lt;&gt;"",$P$2,"")&amp;U82</f>
        <v/>
      </c>
      <c r="N82" s="283">
        <f t="array" ref="N82">IF(AND(
    SUMPRODUCT(
        (IM!$F$2:$F$1181=A82) *
        ISNUMBER(SEARCH("*HUB*", IM!$AC$2:$AC$1181)) *
        (IM!$X$2:$X$1181&gt;=$A$1) *
        (IM!$X$2:$X$1181&lt;=$B$1)*(Z82="HUB")
    ) &gt; 0
), "HUB", "")</f>
        <v/>
      </c>
      <c r="O82" s="397">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4">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5">
        <f t="array" ref="V82">IFERROR(INDEX(IM!$AM$2:$AM$9382, MATCH(1, (IM!$F$2:$F$9382=A82) * (ISNUMBER(SEARCH($F$1, IM!$AC$2:$AC$9382))), 0)), "")</f>
        <v/>
      </c>
      <c r="W82" s="228">
        <f>IF(AND(AA82&lt;&gt;"", AB82&lt;&gt;""), 2, IF(OR(AA82&lt;&gt;"", AB82&lt;&gt;""), 1, 0))</f>
        <v/>
      </c>
      <c r="X82" s="228" t="n"/>
      <c r="Y82" s="390">
        <f>IF(OR(S82="STAR", W82="", X82=""), W82,
"總數：" &amp; W82 &amp; CHAR(10) &amp;
"已維修：" &amp; X82 &amp; CHAR(10) &amp;
"未更換：" &amp; (W82 - X82))</f>
        <v/>
      </c>
      <c r="Z82" s="221">
        <f>IF(VLOOKUP(A82,'0919門市清單主檔'!B:AC,28,FALSE)=0,"",VLOOKUP(A82,'0919門市清單主檔'!B:AC,28,FALSE))</f>
        <v/>
      </c>
      <c r="AA82" s="326"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0">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4">
        <f t="array" ref="J83">IFERROR(INDEX(IM!$AM$2:$AM$9333, MATCH(1, (IM!$F$2:$F$9333=A83) * (ISNUMBER(SEARCH($C$1, IM!$AC$2:$AC$9333))), 0)), "")</f>
        <v/>
      </c>
      <c r="K83" s="316">
        <f t="array" ref="K83">SUMPRODUCT((IM!$F$2:$F$9181=A83)*(IM!$AD$2:$AD$9181="O")*(ISNUMBER(SEARCH($C$1, IM!$AC$2:$AC$9181))))</f>
        <v/>
      </c>
      <c r="L83" s="330">
        <f t="array" ref="L83">IF(K83&gt;0,IFERROR(HYPERLINK("#'IM'!AC"&amp;MATCH(1,(IM!$F$1:$F$6881=A83)*(ISNUMBER(SEARCH($C$1,IM!$AC$1:$AC$6881))),0),"檢核"),"未登錄"),"")</f>
        <v/>
      </c>
      <c r="M83" s="394">
        <f>Q83&amp;IF(AND(S83&lt;&gt;"",AND(Q83&lt;&gt;"")),$P$2,"")&amp;S83&amp;IF(U83&lt;&gt;"",$P$2,"")&amp;U83</f>
        <v/>
      </c>
      <c r="N83" s="283">
        <f t="array" ref="N83">IF(AND(
    SUMPRODUCT(
        (IM!$F$2:$F$1181=A83) *
        ISNUMBER(SEARCH("*HUB*", IM!$AC$2:$AC$1181)) *
        (IM!$X$2:$X$1181&gt;=$A$1) *
        (IM!$X$2:$X$1181&lt;=$B$1)*(Z83="HUB")
    ) &gt; 0
), "HUB", "")</f>
        <v/>
      </c>
      <c r="O83" s="397">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4">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5">
        <f t="array" ref="V83">IFERROR(INDEX(IM!$AM$2:$AM$9382, MATCH(1, (IM!$F$2:$F$9382=A83) * (ISNUMBER(SEARCH($F$1, IM!$AC$2:$AC$9382))), 0)), "")</f>
        <v/>
      </c>
      <c r="W83" s="228">
        <f>IF(AND(AA83&lt;&gt;"", AB83&lt;&gt;""), 2, IF(OR(AA83&lt;&gt;"", AB83&lt;&gt;""), 1, 0))</f>
        <v/>
      </c>
      <c r="X83" s="228" t="n"/>
      <c r="Y83" s="390">
        <f>IF(OR(S83="STAR", W83="", X83=""), W83,
"總數：" &amp; W83 &amp; CHAR(10) &amp;
"已維修：" &amp; X83 &amp; CHAR(10) &amp;
"未更換：" &amp; (W83 - X83))</f>
        <v/>
      </c>
      <c r="Z83" s="221">
        <f>IF(VLOOKUP(A83,'0919門市清單主檔'!B:AC,28,FALSE)=0,"",VLOOKUP(A83,'0919門市清單主檔'!B:AC,28,FALSE))</f>
        <v/>
      </c>
      <c r="AA83" s="326"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0">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4">
        <f t="array" ref="J84">IFERROR(INDEX(IM!$AM$2:$AM$9333, MATCH(1, (IM!$F$2:$F$9333=A84) * (ISNUMBER(SEARCH($C$1, IM!$AC$2:$AC$9333))), 0)), "")</f>
        <v/>
      </c>
      <c r="K84" s="316">
        <f t="array" ref="K84">SUMPRODUCT((IM!$F$2:$F$9181=A84)*(IM!$AD$2:$AD$9181="O")*(ISNUMBER(SEARCH($C$1, IM!$AC$2:$AC$9181))))</f>
        <v/>
      </c>
      <c r="L84" s="330">
        <f t="array" ref="L84">IF(K84&gt;0,IFERROR(HYPERLINK("#'IM'!AC"&amp;MATCH(1,(IM!$F$1:$F$6881=A84)*(ISNUMBER(SEARCH($C$1,IM!$AC$1:$AC$6881))),0),"檢核"),"未登錄"),"")</f>
        <v/>
      </c>
      <c r="M84" s="394">
        <f>Q84&amp;IF(AND(S84&lt;&gt;"",AND(Q84&lt;&gt;"")),$P$2,"")&amp;S84&amp;IF(U84&lt;&gt;"",$P$2,"")&amp;U84</f>
        <v/>
      </c>
      <c r="N84" s="283">
        <f t="array" ref="N84">IF(AND(
    SUMPRODUCT(
        (IM!$F$2:$F$1181=A84) *
        ISNUMBER(SEARCH("*HUB*", IM!$AC$2:$AC$1181)) *
        (IM!$X$2:$X$1181&gt;=$A$1) *
        (IM!$X$2:$X$1181&lt;=$B$1)*(Z84="HUB")
    ) &gt; 0
), "HUB", "")</f>
        <v/>
      </c>
      <c r="O84" s="397">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4">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5">
        <f t="array" ref="V84">IFERROR(INDEX(IM!$AM$2:$AM$9382, MATCH(1, (IM!$F$2:$F$9382=A84) * (ISNUMBER(SEARCH($F$1, IM!$AC$2:$AC$9382))), 0)), "")</f>
        <v/>
      </c>
      <c r="W84" s="228">
        <f>IF(AND(AA84&lt;&gt;"", AB84&lt;&gt;""), 2, IF(OR(AA84&lt;&gt;"", AB84&lt;&gt;""), 1, 0))</f>
        <v/>
      </c>
      <c r="X84" s="228" t="n"/>
      <c r="Y84" s="390">
        <f>IF(OR(S84="STAR", W84="", X84=""), W84,
"總數：" &amp; W84 &amp; CHAR(10) &amp;
"已維修：" &amp; X84 &amp; CHAR(10) &amp;
"未更換：" &amp; (W84 - X84))</f>
        <v/>
      </c>
      <c r="Z84" s="221">
        <f>IF(VLOOKUP(A84,'0919門市清單主檔'!B:AC,28,FALSE)=0,"",VLOOKUP(A84,'0919門市清單主檔'!B:AC,28,FALSE))</f>
        <v/>
      </c>
      <c r="AA84" s="326"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0">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4">
        <f t="array" ref="J85">IFERROR(INDEX(IM!$AM$2:$AM$9333, MATCH(1, (IM!$F$2:$F$9333=A85) * (ISNUMBER(SEARCH($C$1, IM!$AC$2:$AC$9333))), 0)), "")</f>
        <v/>
      </c>
      <c r="K85" s="316">
        <f t="array" ref="K85">SUMPRODUCT((IM!$F$2:$F$9181=A85)*(IM!$AD$2:$AD$9181="O")*(ISNUMBER(SEARCH($C$1, IM!$AC$2:$AC$9181))))</f>
        <v/>
      </c>
      <c r="L85" s="330">
        <f t="array" ref="L85">IF(K85&gt;0,IFERROR(HYPERLINK("#'IM'!AC"&amp;MATCH(1,(IM!$F$1:$F$6881=A85)*(ISNUMBER(SEARCH($C$1,IM!$AC$1:$AC$6881))),0),"檢核"),"未登錄"),"")</f>
        <v/>
      </c>
      <c r="M85" s="394">
        <f>Q85&amp;IF(AND(S85&lt;&gt;"",AND(Q85&lt;&gt;"")),$P$2,"")&amp;S85&amp;IF(U85&lt;&gt;"",$P$2,"")&amp;U85</f>
        <v/>
      </c>
      <c r="N85" s="283">
        <f t="array" ref="N85">IF(AND(
    SUMPRODUCT(
        (IM!$F$2:$F$1181=A85) *
        ISNUMBER(SEARCH("*HUB*", IM!$AC$2:$AC$1181)) *
        (IM!$X$2:$X$1181&gt;=$A$1) *
        (IM!$X$2:$X$1181&lt;=$B$1)*(Z85="HUB")
    ) &gt; 0
), "HUB", "")</f>
        <v/>
      </c>
      <c r="O85" s="397">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4">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5">
        <f t="array" ref="V85">IFERROR(INDEX(IM!$AM$2:$AM$9382, MATCH(1, (IM!$F$2:$F$9382=A85) * (ISNUMBER(SEARCH($F$1, IM!$AC$2:$AC$9382))), 0)), "")</f>
        <v/>
      </c>
      <c r="W85" s="228">
        <f>IF(AND(AA85&lt;&gt;"", AB85&lt;&gt;""), 2, IF(OR(AA85&lt;&gt;"", AB85&lt;&gt;""), 1, 0))</f>
        <v/>
      </c>
      <c r="X85" s="228" t="n"/>
      <c r="Y85" s="390">
        <f>IF(OR(S85="STAR", W85="", X85=""), W85,
"總數：" &amp; W85 &amp; CHAR(10) &amp;
"已維修：" &amp; X85 &amp; CHAR(10) &amp;
"未更換：" &amp; (W85 - X85))</f>
        <v/>
      </c>
      <c r="Z85" s="221">
        <f>IF(VLOOKUP(A85,'0919門市清單主檔'!B:AC,28,FALSE)=0,"",VLOOKUP(A85,'0919門市清單主檔'!B:AC,28,FALSE))</f>
        <v/>
      </c>
      <c r="AA85" s="326"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0">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4">
        <f t="array" ref="J86">IFERROR(INDEX(IM!$AM$2:$AM$9333, MATCH(1, (IM!$F$2:$F$9333=A86) * (ISNUMBER(SEARCH($C$1, IM!$AC$2:$AC$9333))), 0)), "")</f>
        <v/>
      </c>
      <c r="K86" s="316">
        <f t="array" ref="K86">SUMPRODUCT((IM!$F$2:$F$9181=A86)*(IM!$AD$2:$AD$9181="O")*(ISNUMBER(SEARCH($C$1, IM!$AC$2:$AC$9181))))</f>
        <v/>
      </c>
      <c r="L86" s="330">
        <f t="array" ref="L86">IF(K86&gt;0,IFERROR(HYPERLINK("#'IM'!AC"&amp;MATCH(1,(IM!$F$1:$F$6881=A86)*(ISNUMBER(SEARCH($C$1,IM!$AC$1:$AC$6881))),0),"檢核"),"未登錄"),"")</f>
        <v/>
      </c>
      <c r="M86" s="394">
        <f>Q86&amp;IF(AND(S86&lt;&gt;"",AND(Q86&lt;&gt;"")),$P$2,"")&amp;S86&amp;IF(U86&lt;&gt;"",$P$2,"")&amp;U86</f>
        <v/>
      </c>
      <c r="N86" s="283">
        <f t="array" ref="N86">IF(AND(
    SUMPRODUCT(
        (IM!$F$2:$F$1181=A86) *
        ISNUMBER(SEARCH("*HUB*", IM!$AC$2:$AC$1181)) *
        (IM!$X$2:$X$1181&gt;=$A$1) *
        (IM!$X$2:$X$1181&lt;=$B$1)*(Z86="HUB")
    ) &gt; 0
), "HUB", "")</f>
        <v/>
      </c>
      <c r="O86" s="397">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4">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5">
        <f t="array" ref="V86">IFERROR(INDEX(IM!$AM$2:$AM$9382, MATCH(1, (IM!$F$2:$F$9382=A86) * (ISNUMBER(SEARCH($F$1, IM!$AC$2:$AC$9382))), 0)), "")</f>
        <v/>
      </c>
      <c r="W86" s="228">
        <f>IF(AND(AA86&lt;&gt;"", AB86&lt;&gt;""), 2, IF(OR(AA86&lt;&gt;"", AB86&lt;&gt;""), 1, 0))</f>
        <v/>
      </c>
      <c r="X86" s="228" t="n"/>
      <c r="Y86" s="390">
        <f>IF(OR(S86="STAR", W86="", X86=""), W86,
"總數：" &amp; W86 &amp; CHAR(10) &amp;
"已維修：" &amp; X86 &amp; CHAR(10) &amp;
"未更換：" &amp; (W86 - X86))</f>
        <v/>
      </c>
      <c r="Z86" s="221">
        <f>IF(VLOOKUP(A86,'0919門市清單主檔'!B:AC,28,FALSE)=0,"",VLOOKUP(A86,'0919門市清單主檔'!B:AC,28,FALSE))</f>
        <v/>
      </c>
      <c r="AA86" s="326"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0">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4">
        <f t="array" ref="J87">IFERROR(INDEX(IM!$AM$2:$AM$9333, MATCH(1, (IM!$F$2:$F$9333=A87) * (ISNUMBER(SEARCH($C$1, IM!$AC$2:$AC$9333))), 0)), "")</f>
        <v/>
      </c>
      <c r="K87" s="316">
        <f t="array" ref="K87">SUMPRODUCT((IM!$F$2:$F$9181=A87)*(IM!$AD$2:$AD$9181="O")*(ISNUMBER(SEARCH($C$1, IM!$AC$2:$AC$9181))))</f>
        <v/>
      </c>
      <c r="L87" s="330">
        <f t="array" ref="L87">IF(K87&gt;0,IFERROR(HYPERLINK("#'IM'!AC"&amp;MATCH(1,(IM!$F$1:$F$6881=A87)*(ISNUMBER(SEARCH($C$1,IM!$AC$1:$AC$6881))),0),"檢核"),"未登錄"),"")</f>
        <v/>
      </c>
      <c r="M87" s="394">
        <f>Q87&amp;IF(AND(S87&lt;&gt;"",AND(Q87&lt;&gt;"")),$P$2,"")&amp;S87&amp;IF(U87&lt;&gt;"",$P$2,"")&amp;U87</f>
        <v/>
      </c>
      <c r="N87" s="283">
        <f t="array" ref="N87">IF(AND(
    SUMPRODUCT(
        (IM!$F$2:$F$1181=A87) *
        ISNUMBER(SEARCH("*HUB*", IM!$AC$2:$AC$1181)) *
        (IM!$X$2:$X$1181&gt;=$A$1) *
        (IM!$X$2:$X$1181&lt;=$B$1)*(Z87="HUB")
    ) &gt; 0
), "HUB", "")</f>
        <v/>
      </c>
      <c r="O87" s="397">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4">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5">
        <f t="array" ref="V87">IFERROR(INDEX(IM!$AM$2:$AM$9382, MATCH(1, (IM!$F$2:$F$9382=A87) * (ISNUMBER(SEARCH($F$1, IM!$AC$2:$AC$9382))), 0)), "")</f>
        <v/>
      </c>
      <c r="W87" s="228">
        <f>IF(AND(AA87&lt;&gt;"", AB87&lt;&gt;""), 2, IF(OR(AA87&lt;&gt;"", AB87&lt;&gt;""), 1, 0))</f>
        <v/>
      </c>
      <c r="X87" s="228" t="n"/>
      <c r="Y87" s="390">
        <f>IF(OR(S87="STAR", W87="", X87=""), W87,
"總數：" &amp; W87 &amp; CHAR(10) &amp;
"已維修：" &amp; X87 &amp; CHAR(10) &amp;
"未更換：" &amp; (W87 - X87))</f>
        <v/>
      </c>
      <c r="Z87" s="221">
        <f>IF(VLOOKUP(A87,'0919門市清單主檔'!B:AC,28,FALSE)=0,"",VLOOKUP(A87,'0919門市清單主檔'!B:AC,28,FALSE))</f>
        <v/>
      </c>
      <c r="AA87" s="326"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0">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4">
        <f t="array" ref="J88">IFERROR(INDEX(IM!$AM$2:$AM$9333, MATCH(1, (IM!$F$2:$F$9333=A88) * (ISNUMBER(SEARCH($C$1, IM!$AC$2:$AC$9333))), 0)), "")</f>
        <v/>
      </c>
      <c r="K88" s="316">
        <f t="array" ref="K88">SUMPRODUCT((IM!$F$2:$F$9181=A88)*(IM!$AD$2:$AD$9181="O")*(ISNUMBER(SEARCH($C$1, IM!$AC$2:$AC$9181))))</f>
        <v/>
      </c>
      <c r="L88" s="330">
        <f t="array" ref="L88">IF(K88&gt;0,IFERROR(HYPERLINK("#'IM'!AC"&amp;MATCH(1,(IM!$F$1:$F$6881=A88)*(ISNUMBER(SEARCH($C$1,IM!$AC$1:$AC$6881))),0),"檢核"),"未登錄"),"")</f>
        <v/>
      </c>
      <c r="M88" s="394">
        <f>Q88&amp;IF(AND(S88&lt;&gt;"",AND(Q88&lt;&gt;"")),$P$2,"")&amp;S88&amp;IF(U88&lt;&gt;"",$P$2,"")&amp;U88</f>
        <v/>
      </c>
      <c r="N88" s="283">
        <f t="array" ref="N88">IF(AND(
    SUMPRODUCT(
        (IM!$F$2:$F$1181=A88) *
        ISNUMBER(SEARCH("*HUB*", IM!$AC$2:$AC$1181)) *
        (IM!$X$2:$X$1181&gt;=$A$1) *
        (IM!$X$2:$X$1181&lt;=$B$1)*(Z88="HUB")
    ) &gt; 0
), "HUB", "")</f>
        <v/>
      </c>
      <c r="O88" s="397">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4">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5">
        <f t="array" ref="V88">IFERROR(INDEX(IM!$AM$2:$AM$9382, MATCH(1, (IM!$F$2:$F$9382=A88) * (ISNUMBER(SEARCH($F$1, IM!$AC$2:$AC$9382))), 0)), "")</f>
        <v/>
      </c>
      <c r="W88" s="228">
        <f>IF(AND(AA88&lt;&gt;"", AB88&lt;&gt;""), 2, IF(OR(AA88&lt;&gt;"", AB88&lt;&gt;""), 1, 0))</f>
        <v/>
      </c>
      <c r="X88" s="228" t="n"/>
      <c r="Y88" s="390">
        <f>IF(OR(S88="STAR", W88="", X88=""), W88,
"總數：" &amp; W88 &amp; CHAR(10) &amp;
"已維修：" &amp; X88 &amp; CHAR(10) &amp;
"未更換：" &amp; (W88 - X88))</f>
        <v/>
      </c>
      <c r="Z88" s="221">
        <f>IF(VLOOKUP(A88,'0919門市清單主檔'!B:AC,28,FALSE)=0,"",VLOOKUP(A88,'0919門市清單主檔'!B:AC,28,FALSE))</f>
        <v/>
      </c>
      <c r="AA88" s="326"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0">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4">
        <f t="array" ref="J89">IFERROR(INDEX(IM!$AM$2:$AM$9333, MATCH(1, (IM!$F$2:$F$9333=A89) * (ISNUMBER(SEARCH($C$1, IM!$AC$2:$AC$9333))), 0)), "")</f>
        <v/>
      </c>
      <c r="K89" s="316">
        <f t="array" ref="K89">SUMPRODUCT((IM!$F$2:$F$9181=A89)*(IM!$AD$2:$AD$9181="O")*(ISNUMBER(SEARCH($C$1, IM!$AC$2:$AC$9181))))</f>
        <v/>
      </c>
      <c r="L89" s="330">
        <f t="array" ref="L89">IF(K89&gt;0,IFERROR(HYPERLINK("#'IM'!AC"&amp;MATCH(1,(IM!$F$1:$F$6881=A89)*(ISNUMBER(SEARCH($C$1,IM!$AC$1:$AC$6881))),0),"檢核"),"未登錄"),"")</f>
        <v/>
      </c>
      <c r="M89" s="394">
        <f>Q89&amp;IF(AND(S89&lt;&gt;"",AND(Q89&lt;&gt;"")),$P$2,"")&amp;S89&amp;IF(U89&lt;&gt;"",$P$2,"")&amp;U89</f>
        <v/>
      </c>
      <c r="N89" s="283">
        <f t="array" ref="N89">IF(AND(
    SUMPRODUCT(
        (IM!$F$2:$F$1181=A89) *
        ISNUMBER(SEARCH("*HUB*", IM!$AC$2:$AC$1181)) *
        (IM!$X$2:$X$1181&gt;=$A$1) *
        (IM!$X$2:$X$1181&lt;=$B$1)*(Z89="HUB")
    ) &gt; 0
), "HUB", "")</f>
        <v/>
      </c>
      <c r="O89" s="397">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4">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5">
        <f t="array" ref="V89">IFERROR(INDEX(IM!$AM$2:$AM$9382, MATCH(1, (IM!$F$2:$F$9382=A89) * (ISNUMBER(SEARCH($F$1, IM!$AC$2:$AC$9382))), 0)), "")</f>
        <v/>
      </c>
      <c r="W89" s="228">
        <f>IF(AND(AA89&lt;&gt;"", AB89&lt;&gt;""), 2, IF(OR(AA89&lt;&gt;"", AB89&lt;&gt;""), 1, 0))</f>
        <v/>
      </c>
      <c r="X89" s="228" t="n"/>
      <c r="Y89" s="390">
        <f>IF(OR(S89="STAR", W89="", X89=""), W89,
"總數：" &amp; W89 &amp; CHAR(10) &amp;
"已維修：" &amp; X89 &amp; CHAR(10) &amp;
"未更換：" &amp; (W89 - X89))</f>
        <v/>
      </c>
      <c r="Z89" s="221">
        <f>IF(VLOOKUP(A89,'0919門市清單主檔'!B:AC,28,FALSE)=0,"",VLOOKUP(A89,'0919門市清單主檔'!B:AC,28,FALSE))</f>
        <v/>
      </c>
      <c r="AA89" s="326"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0">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4">
        <f t="array" ref="J90">IFERROR(INDEX(IM!$AM$2:$AM$9333, MATCH(1, (IM!$F$2:$F$9333=A90) * (ISNUMBER(SEARCH($C$1, IM!$AC$2:$AC$9333))), 0)), "")</f>
        <v/>
      </c>
      <c r="K90" s="316">
        <f t="array" ref="K90">SUMPRODUCT((IM!$F$2:$F$9181=A90)*(IM!$AD$2:$AD$9181="O")*(ISNUMBER(SEARCH($C$1, IM!$AC$2:$AC$9181))))</f>
        <v/>
      </c>
      <c r="L90" s="330">
        <f t="array" ref="L90">IF(K90&gt;0,IFERROR(HYPERLINK("#'IM'!AC"&amp;MATCH(1,(IM!$F$1:$F$6881=A90)*(ISNUMBER(SEARCH($C$1,IM!$AC$1:$AC$6881))),0),"檢核"),"未登錄"),"")</f>
        <v/>
      </c>
      <c r="M90" s="394">
        <f>Q90&amp;IF(AND(S90&lt;&gt;"",AND(Q90&lt;&gt;"")),$P$2,"")&amp;S90&amp;IF(U90&lt;&gt;"",$P$2,"")&amp;U90</f>
        <v/>
      </c>
      <c r="N90" s="283">
        <f t="array" ref="N90">IF(AND(
    SUMPRODUCT(
        (IM!$F$2:$F$1181=A90) *
        ISNUMBER(SEARCH("*HUB*", IM!$AC$2:$AC$1181)) *
        (IM!$X$2:$X$1181&gt;=$A$1) *
        (IM!$X$2:$X$1181&lt;=$B$1)*(Z90="HUB")
    ) &gt; 0
), "HUB", "")</f>
        <v/>
      </c>
      <c r="O90" s="397">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4">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5">
        <f t="array" ref="V90">IFERROR(INDEX(IM!$AM$2:$AM$9382, MATCH(1, (IM!$F$2:$F$9382=A90) * (ISNUMBER(SEARCH($F$1, IM!$AC$2:$AC$9382))), 0)), "")</f>
        <v/>
      </c>
      <c r="W90" s="228">
        <f>IF(AND(AA90&lt;&gt;"", AB90&lt;&gt;""), 2, IF(OR(AA90&lt;&gt;"", AB90&lt;&gt;""), 1, 0))</f>
        <v/>
      </c>
      <c r="X90" s="228" t="n"/>
      <c r="Y90" s="390">
        <f>IF(OR(S90="STAR", W90="", X90=""), W90,
"總數：" &amp; W90 &amp; CHAR(10) &amp;
"已維修：" &amp; X90 &amp; CHAR(10) &amp;
"未更換：" &amp; (W90 - X90))</f>
        <v/>
      </c>
      <c r="Z90" s="221">
        <f>IF(VLOOKUP(A90,'0919門市清單主檔'!B:AC,28,FALSE)=0,"",VLOOKUP(A90,'0919門市清單主檔'!B:AC,28,FALSE))</f>
        <v/>
      </c>
      <c r="AA90" s="326"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0">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4">
        <f t="array" ref="J91">IFERROR(INDEX(IM!$AM$2:$AM$9333, MATCH(1, (IM!$F$2:$F$9333=A91) * (ISNUMBER(SEARCH($C$1, IM!$AC$2:$AC$9333))), 0)), "")</f>
        <v/>
      </c>
      <c r="K91" s="316">
        <f t="array" ref="K91">SUMPRODUCT((IM!$F$2:$F$9181=A91)*(IM!$AD$2:$AD$9181="O")*(ISNUMBER(SEARCH($C$1, IM!$AC$2:$AC$9181))))</f>
        <v/>
      </c>
      <c r="L91" s="330">
        <f t="array" ref="L91">IF(K91&gt;0,IFERROR(HYPERLINK("#'IM'!AC"&amp;MATCH(1,(IM!$F$1:$F$6881=A91)*(ISNUMBER(SEARCH($C$1,IM!$AC$1:$AC$6881))),0),"檢核"),"未登錄"),"")</f>
        <v/>
      </c>
      <c r="M91" s="394">
        <f>Q91&amp;IF(AND(S91&lt;&gt;"",AND(Q91&lt;&gt;"")),$P$2,"")&amp;S91&amp;IF(U91&lt;&gt;"",$P$2,"")&amp;U91</f>
        <v/>
      </c>
      <c r="N91" s="283">
        <f t="array" ref="N91">IF(AND(
    SUMPRODUCT(
        (IM!$F$2:$F$1181=A91) *
        ISNUMBER(SEARCH("*HUB*", IM!$AC$2:$AC$1181)) *
        (IM!$X$2:$X$1181&gt;=$A$1) *
        (IM!$X$2:$X$1181&lt;=$B$1)*(Z91="HUB")
    ) &gt; 0
), "HUB", "")</f>
        <v/>
      </c>
      <c r="O91" s="397">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4">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5">
        <f t="array" ref="V91">IFERROR(INDEX(IM!$AM$2:$AM$9382, MATCH(1, (IM!$F$2:$F$9382=A91) * (ISNUMBER(SEARCH($F$1, IM!$AC$2:$AC$9382))), 0)), "")</f>
        <v/>
      </c>
      <c r="W91" s="228">
        <f>IF(AND(AA91&lt;&gt;"", AB91&lt;&gt;""), 2, IF(OR(AA91&lt;&gt;"", AB91&lt;&gt;""), 1, 0))</f>
        <v/>
      </c>
      <c r="X91" s="228" t="n"/>
      <c r="Y91" s="390">
        <f>IF(OR(S91="STAR", W91="", X91=""), W91,
"總數：" &amp; W91 &amp; CHAR(10) &amp;
"已維修：" &amp; X91 &amp; CHAR(10) &amp;
"未更換：" &amp; (W91 - X91))</f>
        <v/>
      </c>
      <c r="Z91" s="221">
        <f>IF(VLOOKUP(A91,'0919門市清單主檔'!B:AC,28,FALSE)=0,"",VLOOKUP(A91,'0919門市清單主檔'!B:AC,28,FALSE))</f>
        <v/>
      </c>
      <c r="AA91" s="326"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0">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4">
        <f t="array" ref="J92">IFERROR(INDEX(IM!$AM$2:$AM$9333, MATCH(1, (IM!$F$2:$F$9333=A92) * (ISNUMBER(SEARCH($C$1, IM!$AC$2:$AC$9333))), 0)), "")</f>
        <v/>
      </c>
      <c r="K92" s="316">
        <f t="array" ref="K92">SUMPRODUCT((IM!$F$2:$F$9181=A92)*(IM!$AD$2:$AD$9181="O")*(ISNUMBER(SEARCH($C$1, IM!$AC$2:$AC$9181))))</f>
        <v/>
      </c>
      <c r="L92" s="330">
        <f t="array" ref="L92">IF(K92&gt;0,IFERROR(HYPERLINK("#'IM'!AC"&amp;MATCH(1,(IM!$F$1:$F$6881=A92)*(ISNUMBER(SEARCH($C$1,IM!$AC$1:$AC$6881))),0),"檢核"),"未登錄"),"")</f>
        <v/>
      </c>
      <c r="M92" s="394">
        <f>Q92&amp;IF(AND(S92&lt;&gt;"",AND(Q92&lt;&gt;"")),$P$2,"")&amp;S92&amp;IF(U92&lt;&gt;"",$P$2,"")&amp;U92</f>
        <v/>
      </c>
      <c r="N92" s="283">
        <f t="array" ref="N92">IF(AND(
    SUMPRODUCT(
        (IM!$F$2:$F$1181=A92) *
        ISNUMBER(SEARCH("*HUB*", IM!$AC$2:$AC$1181)) *
        (IM!$X$2:$X$1181&gt;=$A$1) *
        (IM!$X$2:$X$1181&lt;=$B$1)*(Z92="HUB")
    ) &gt; 0
), "HUB", "")</f>
        <v/>
      </c>
      <c r="O92" s="397">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4">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5">
        <f t="array" ref="V92">IFERROR(INDEX(IM!$AM$2:$AM$9382, MATCH(1, (IM!$F$2:$F$9382=A92) * (ISNUMBER(SEARCH($F$1, IM!$AC$2:$AC$9382))), 0)), "")</f>
        <v/>
      </c>
      <c r="W92" s="228">
        <f>IF(AND(AA92&lt;&gt;"", AB92&lt;&gt;""), 2, IF(OR(AA92&lt;&gt;"", AB92&lt;&gt;""), 1, 0))</f>
        <v/>
      </c>
      <c r="X92" s="228" t="n"/>
      <c r="Y92" s="390">
        <f>IF(OR(S92="STAR", W92="", X92=""), W92,
"總數：" &amp; W92 &amp; CHAR(10) &amp;
"已維修：" &amp; X92 &amp; CHAR(10) &amp;
"未更換：" &amp; (W92 - X92))</f>
        <v/>
      </c>
      <c r="Z92" s="221">
        <f>IF(VLOOKUP(A92,'0919門市清單主檔'!B:AC,28,FALSE)=0,"",VLOOKUP(A92,'0919門市清單主檔'!B:AC,28,FALSE))</f>
        <v/>
      </c>
      <c r="AA92" s="326"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0">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4">
        <f t="array" ref="J93">IFERROR(INDEX(IM!$AM$2:$AM$9333, MATCH(1, (IM!$F$2:$F$9333=A93) * (ISNUMBER(SEARCH($C$1, IM!$AC$2:$AC$9333))), 0)), "")</f>
        <v/>
      </c>
      <c r="K93" s="316">
        <f t="array" ref="K93">SUMPRODUCT((IM!$F$2:$F$9181=A93)*(IM!$AD$2:$AD$9181="O")*(ISNUMBER(SEARCH($C$1, IM!$AC$2:$AC$9181))))</f>
        <v/>
      </c>
      <c r="L93" s="330">
        <f t="array" ref="L93">IF(K93&gt;0,IFERROR(HYPERLINK("#'IM'!AC"&amp;MATCH(1,(IM!$F$1:$F$6881=A93)*(ISNUMBER(SEARCH($C$1,IM!$AC$1:$AC$6881))),0),"檢核"),"未登錄"),"")</f>
        <v/>
      </c>
      <c r="M93" s="394">
        <f>Q93&amp;IF(AND(S93&lt;&gt;"",AND(Q93&lt;&gt;"")),$P$2,"")&amp;S93&amp;IF(U93&lt;&gt;"",$P$2,"")&amp;U93</f>
        <v/>
      </c>
      <c r="N93" s="283">
        <f t="array" ref="N93">IF(AND(
    SUMPRODUCT(
        (IM!$F$2:$F$1181=A93) *
        ISNUMBER(SEARCH("*HUB*", IM!$AC$2:$AC$1181)) *
        (IM!$X$2:$X$1181&gt;=$A$1) *
        (IM!$X$2:$X$1181&lt;=$B$1)*(Z93="HUB")
    ) &gt; 0
), "HUB", "")</f>
        <v/>
      </c>
      <c r="O93" s="397">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4">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5">
        <f t="array" ref="V93">IFERROR(INDEX(IM!$AM$2:$AM$9382, MATCH(1, (IM!$F$2:$F$9382=A93) * (ISNUMBER(SEARCH($F$1, IM!$AC$2:$AC$9382))), 0)), "")</f>
        <v/>
      </c>
      <c r="W93" s="228">
        <f>IF(AND(AA93&lt;&gt;"", AB93&lt;&gt;""), 2, IF(OR(AA93&lt;&gt;"", AB93&lt;&gt;""), 1, 0))</f>
        <v/>
      </c>
      <c r="X93" s="228" t="n"/>
      <c r="Y93" s="390">
        <f>IF(OR(S93="STAR", W93="", X93=""), W93,
"總數：" &amp; W93 &amp; CHAR(10) &amp;
"已維修：" &amp; X93 &amp; CHAR(10) &amp;
"未更換：" &amp; (W93 - X93))</f>
        <v/>
      </c>
      <c r="Z93" s="221">
        <f>IF(VLOOKUP(A93,'0919門市清單主檔'!B:AC,28,FALSE)=0,"",VLOOKUP(A93,'0919門市清單主檔'!B:AC,28,FALSE))</f>
        <v/>
      </c>
      <c r="AA93" s="326"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0">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4">
        <f t="array" ref="J94">IFERROR(INDEX(IM!$AM$2:$AM$9333, MATCH(1, (IM!$F$2:$F$9333=A94) * (ISNUMBER(SEARCH($C$1, IM!$AC$2:$AC$9333))), 0)), "")</f>
        <v/>
      </c>
      <c r="K94" s="316">
        <f t="array" ref="K94">SUMPRODUCT((IM!$F$2:$F$9181=A94)*(IM!$AD$2:$AD$9181="O")*(ISNUMBER(SEARCH($C$1, IM!$AC$2:$AC$9181))))</f>
        <v/>
      </c>
      <c r="L94" s="330">
        <f t="array" ref="L94">IF(K94&gt;0,IFERROR(HYPERLINK("#'IM'!AC"&amp;MATCH(1,(IM!$F$1:$F$6881=A94)*(ISNUMBER(SEARCH($C$1,IM!$AC$1:$AC$6881))),0),"檢核"),"未登錄"),"")</f>
        <v/>
      </c>
      <c r="M94" s="394">
        <f>Q94&amp;IF(AND(S94&lt;&gt;"",AND(Q94&lt;&gt;"")),$P$2,"")&amp;S94&amp;IF(U94&lt;&gt;"",$P$2,"")&amp;U94</f>
        <v/>
      </c>
      <c r="N94" s="283">
        <f t="array" ref="N94">IF(AND(
    SUMPRODUCT(
        (IM!$F$2:$F$1181=A94) *
        ISNUMBER(SEARCH("*HUB*", IM!$AC$2:$AC$1181)) *
        (IM!$X$2:$X$1181&gt;=$A$1) *
        (IM!$X$2:$X$1181&lt;=$B$1)*(Z94="HUB")
    ) &gt; 0
), "HUB", "")</f>
        <v/>
      </c>
      <c r="O94" s="397">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4">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5">
        <f t="array" ref="V94">IFERROR(INDEX(IM!$AM$2:$AM$9382, MATCH(1, (IM!$F$2:$F$9382=A94) * (ISNUMBER(SEARCH($F$1, IM!$AC$2:$AC$9382))), 0)), "")</f>
        <v/>
      </c>
      <c r="W94" s="228">
        <f>IF(AND(AA94&lt;&gt;"", AB94&lt;&gt;""), 2, IF(OR(AA94&lt;&gt;"", AB94&lt;&gt;""), 1, 0))</f>
        <v/>
      </c>
      <c r="X94" s="228" t="n"/>
      <c r="Y94" s="390">
        <f>IF(OR(S94="STAR", W94="", X94=""), W94,
"總數：" &amp; W94 &amp; CHAR(10) &amp;
"已維修：" &amp; X94 &amp; CHAR(10) &amp;
"未更換：" &amp; (W94 - X94))</f>
        <v/>
      </c>
      <c r="Z94" s="221">
        <f>IF(VLOOKUP(A94,'0919門市清單主檔'!B:AC,28,FALSE)=0,"",VLOOKUP(A94,'0919門市清單主檔'!B:AC,28,FALSE))</f>
        <v/>
      </c>
      <c r="AA94" s="326"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0">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4">
        <f t="array" ref="J95">IFERROR(INDEX(IM!$AM$2:$AM$9333, MATCH(1, (IM!$F$2:$F$9333=A95) * (ISNUMBER(SEARCH($C$1, IM!$AC$2:$AC$9333))), 0)), "")</f>
        <v/>
      </c>
      <c r="K95" s="316">
        <f t="array" ref="K95">SUMPRODUCT((IM!$F$2:$F$9181=A95)*(IM!$AD$2:$AD$9181="O")*(ISNUMBER(SEARCH($C$1, IM!$AC$2:$AC$9181))))</f>
        <v/>
      </c>
      <c r="L95" s="330">
        <f t="array" ref="L95">IF(K95&gt;0,IFERROR(HYPERLINK("#'IM'!AC"&amp;MATCH(1,(IM!$F$1:$F$6881=A95)*(ISNUMBER(SEARCH($C$1,IM!$AC$1:$AC$6881))),0),"檢核"),"未登錄"),"")</f>
        <v/>
      </c>
      <c r="M95" s="394">
        <f>Q95&amp;IF(AND(S95&lt;&gt;"",AND(Q95&lt;&gt;"")),$P$2,"")&amp;S95&amp;IF(U95&lt;&gt;"",$P$2,"")&amp;U95</f>
        <v/>
      </c>
      <c r="N95" s="283">
        <f t="array" ref="N95">IF(AND(
    SUMPRODUCT(
        (IM!$F$2:$F$1181=A95) *
        ISNUMBER(SEARCH("*HUB*", IM!$AC$2:$AC$1181)) *
        (IM!$X$2:$X$1181&gt;=$A$1) *
        (IM!$X$2:$X$1181&lt;=$B$1)*(Z95="HUB")
    ) &gt; 0
), "HUB", "")</f>
        <v/>
      </c>
      <c r="O95" s="397">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4">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5">
        <f t="array" ref="V95">IFERROR(INDEX(IM!$AM$2:$AM$9382, MATCH(1, (IM!$F$2:$F$9382=A95) * (ISNUMBER(SEARCH($F$1, IM!$AC$2:$AC$9382))), 0)), "")</f>
        <v/>
      </c>
      <c r="W95" s="228">
        <f>IF(AND(AA95&lt;&gt;"", AB95&lt;&gt;""), 2, IF(OR(AA95&lt;&gt;"", AB95&lt;&gt;""), 1, 0))</f>
        <v/>
      </c>
      <c r="X95" s="228" t="n"/>
      <c r="Y95" s="390">
        <f>IF(OR(S95="STAR", W95="", X95=""), W95,
"總數：" &amp; W95 &amp; CHAR(10) &amp;
"已維修：" &amp; X95 &amp; CHAR(10) &amp;
"未更換：" &amp; (W95 - X95))</f>
        <v/>
      </c>
      <c r="Z95" s="221">
        <f>IF(VLOOKUP(A95,'0919門市清單主檔'!B:AC,28,FALSE)=0,"",VLOOKUP(A95,'0919門市清單主檔'!B:AC,28,FALSE))</f>
        <v/>
      </c>
      <c r="AA95" s="326"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0">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4">
        <f t="array" ref="J96">IFERROR(INDEX(IM!$AM$2:$AM$9333, MATCH(1, (IM!$F$2:$F$9333=A96) * (ISNUMBER(SEARCH($C$1, IM!$AC$2:$AC$9333))), 0)), "")</f>
        <v/>
      </c>
      <c r="K96" s="316">
        <f t="array" ref="K96">SUMPRODUCT((IM!$F$2:$F$9181=A96)*(IM!$AD$2:$AD$9181="O")*(ISNUMBER(SEARCH($C$1, IM!$AC$2:$AC$9181))))</f>
        <v/>
      </c>
      <c r="L96" s="330">
        <f t="array" ref="L96">IF(K96&gt;0,IFERROR(HYPERLINK("#'IM'!AC"&amp;MATCH(1,(IM!$F$1:$F$6881=A96)*(ISNUMBER(SEARCH($C$1,IM!$AC$1:$AC$6881))),0),"檢核"),"未登錄"),"")</f>
        <v/>
      </c>
      <c r="M96" s="394">
        <f>Q96&amp;IF(AND(S96&lt;&gt;"",AND(Q96&lt;&gt;"")),$P$2,"")&amp;S96&amp;IF(U96&lt;&gt;"",$P$2,"")&amp;U96</f>
        <v/>
      </c>
      <c r="N96" s="283">
        <f t="array" ref="N96">IF(AND(
    SUMPRODUCT(
        (IM!$F$2:$F$1181=A96) *
        ISNUMBER(SEARCH("*HUB*", IM!$AC$2:$AC$1181)) *
        (IM!$X$2:$X$1181&gt;=$A$1) *
        (IM!$X$2:$X$1181&lt;=$B$1)*(Z96="HUB")
    ) &gt; 0
), "HUB", "")</f>
        <v/>
      </c>
      <c r="O96" s="397">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4">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5">
        <f t="array" ref="V96">IFERROR(INDEX(IM!$AM$2:$AM$9382, MATCH(1, (IM!$F$2:$F$9382=A96) * (ISNUMBER(SEARCH($F$1, IM!$AC$2:$AC$9382))), 0)), "")</f>
        <v/>
      </c>
      <c r="W96" s="228">
        <f>IF(AND(AA96&lt;&gt;"", AB96&lt;&gt;""), 2, IF(OR(AA96&lt;&gt;"", AB96&lt;&gt;""), 1, 0))</f>
        <v/>
      </c>
      <c r="X96" s="228" t="n"/>
      <c r="Y96" s="390">
        <f>IF(OR(S96="STAR", W96="", X96=""), W96,
"總數：" &amp; W96 &amp; CHAR(10) &amp;
"已維修：" &amp; X96 &amp; CHAR(10) &amp;
"未更換：" &amp; (W96 - X96))</f>
        <v/>
      </c>
      <c r="Z96" s="221">
        <f>IF(VLOOKUP(A96,'0919門市清單主檔'!B:AC,28,FALSE)=0,"",VLOOKUP(A96,'0919門市清單主檔'!B:AC,28,FALSE))</f>
        <v/>
      </c>
      <c r="AA96" s="326"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0">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4">
        <f t="array" ref="J97">IFERROR(INDEX(IM!$AM$2:$AM$9333, MATCH(1, (IM!$F$2:$F$9333=A97) * (ISNUMBER(SEARCH($C$1, IM!$AC$2:$AC$9333))), 0)), "")</f>
        <v/>
      </c>
      <c r="K97" s="316">
        <f t="array" ref="K97">SUMPRODUCT((IM!$F$2:$F$9181=A97)*(IM!$AD$2:$AD$9181="O")*(ISNUMBER(SEARCH($C$1, IM!$AC$2:$AC$9181))))</f>
        <v/>
      </c>
      <c r="L97" s="330">
        <f t="array" ref="L97">IF(K97&gt;0,IFERROR(HYPERLINK("#'IM'!AC"&amp;MATCH(1,(IM!$F$1:$F$6881=A97)*(ISNUMBER(SEARCH($C$1,IM!$AC$1:$AC$6881))),0),"檢核"),"未登錄"),"")</f>
        <v/>
      </c>
      <c r="M97" s="394">
        <f>Q97&amp;IF(AND(S97&lt;&gt;"",AND(Q97&lt;&gt;"")),$P$2,"")&amp;S97&amp;IF(U97&lt;&gt;"",$P$2,"")&amp;U97</f>
        <v/>
      </c>
      <c r="N97" s="283">
        <f t="array" ref="N97">IF(AND(
    SUMPRODUCT(
        (IM!$F$2:$F$1181=A97) *
        ISNUMBER(SEARCH("*HUB*", IM!$AC$2:$AC$1181)) *
        (IM!$X$2:$X$1181&gt;=$A$1) *
        (IM!$X$2:$X$1181&lt;=$B$1)*(Z97="HUB")
    ) &gt; 0
), "HUB", "")</f>
        <v/>
      </c>
      <c r="O97" s="397">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4">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5">
        <f t="array" ref="V97">IFERROR(INDEX(IM!$AM$2:$AM$9382, MATCH(1, (IM!$F$2:$F$9382=A97) * (ISNUMBER(SEARCH($F$1, IM!$AC$2:$AC$9382))), 0)), "")</f>
        <v/>
      </c>
      <c r="W97" s="228">
        <f>IF(AND(AA97&lt;&gt;"", AB97&lt;&gt;""), 2, IF(OR(AA97&lt;&gt;"", AB97&lt;&gt;""), 1, 0))</f>
        <v/>
      </c>
      <c r="X97" s="228" t="n"/>
      <c r="Y97" s="390">
        <f>IF(OR(S97="STAR", W97="", X97=""), W97,
"總數：" &amp; W97 &amp; CHAR(10) &amp;
"已維修：" &amp; X97 &amp; CHAR(10) &amp;
"未更換：" &amp; (W97 - X97))</f>
        <v/>
      </c>
      <c r="Z97" s="221">
        <f>IF(VLOOKUP(A97,'0919門市清單主檔'!B:AC,28,FALSE)=0,"",VLOOKUP(A97,'0919門市清單主檔'!B:AC,28,FALSE))</f>
        <v/>
      </c>
      <c r="AA97" s="326"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0">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4">
        <f t="array" ref="J98">IFERROR(INDEX(IM!$AM$2:$AM$9333, MATCH(1, (IM!$F$2:$F$9333=A98) * (ISNUMBER(SEARCH($C$1, IM!$AC$2:$AC$9333))), 0)), "")</f>
        <v/>
      </c>
      <c r="K98" s="316">
        <f t="array" ref="K98">SUMPRODUCT((IM!$F$2:$F$9181=A98)*(IM!$AD$2:$AD$9181="O")*(ISNUMBER(SEARCH($C$1, IM!$AC$2:$AC$9181))))</f>
        <v/>
      </c>
      <c r="L98" s="330">
        <f t="array" ref="L98">IF(K98&gt;0,IFERROR(HYPERLINK("#'IM'!AC"&amp;MATCH(1,(IM!$F$1:$F$6881=A98)*(ISNUMBER(SEARCH($C$1,IM!$AC$1:$AC$6881))),0),"檢核"),"未登錄"),"")</f>
        <v/>
      </c>
      <c r="M98" s="394">
        <f>Q98&amp;IF(AND(S98&lt;&gt;"",AND(Q98&lt;&gt;"")),$P$2,"")&amp;S98&amp;IF(U98&lt;&gt;"",$P$2,"")&amp;U98</f>
        <v/>
      </c>
      <c r="N98" s="283">
        <f t="array" ref="N98">IF(AND(
    SUMPRODUCT(
        (IM!$F$2:$F$1181=A98) *
        ISNUMBER(SEARCH("*HUB*", IM!$AC$2:$AC$1181)) *
        (IM!$X$2:$X$1181&gt;=$A$1) *
        (IM!$X$2:$X$1181&lt;=$B$1)*(Z98="HUB")
    ) &gt; 0
), "HUB", "")</f>
        <v/>
      </c>
      <c r="O98" s="397">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4">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5">
        <f t="array" ref="V98">IFERROR(INDEX(IM!$AM$2:$AM$9382, MATCH(1, (IM!$F$2:$F$9382=A98) * (ISNUMBER(SEARCH($F$1, IM!$AC$2:$AC$9382))), 0)), "")</f>
        <v/>
      </c>
      <c r="W98" s="228">
        <f>IF(AND(AA98&lt;&gt;"", AB98&lt;&gt;""), 2, IF(OR(AA98&lt;&gt;"", AB98&lt;&gt;""), 1, 0))</f>
        <v/>
      </c>
      <c r="X98" s="228" t="n"/>
      <c r="Y98" s="390">
        <f>IF(OR(S98="STAR", W98="", X98=""), W98,
"總數：" &amp; W98 &amp; CHAR(10) &amp;
"已維修：" &amp; X98 &amp; CHAR(10) &amp;
"未更換：" &amp; (W98 - X98))</f>
        <v/>
      </c>
      <c r="Z98" s="221">
        <f>IF(VLOOKUP(A98,'0919門市清單主檔'!B:AC,28,FALSE)=0,"",VLOOKUP(A98,'0919門市清單主檔'!B:AC,28,FALSE))</f>
        <v/>
      </c>
      <c r="AA98" s="326"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0">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4">
        <f t="array" ref="J99">IFERROR(INDEX(IM!$AM$2:$AM$9333, MATCH(1, (IM!$F$2:$F$9333=A99) * (ISNUMBER(SEARCH($C$1, IM!$AC$2:$AC$9333))), 0)), "")</f>
        <v/>
      </c>
      <c r="K99" s="316">
        <f t="array" ref="K99">SUMPRODUCT((IM!$F$2:$F$9181=A99)*(IM!$AD$2:$AD$9181="O")*(ISNUMBER(SEARCH($C$1, IM!$AC$2:$AC$9181))))</f>
        <v/>
      </c>
      <c r="L99" s="330">
        <f t="array" ref="L99">IF(K99&gt;0,IFERROR(HYPERLINK("#'IM'!AC"&amp;MATCH(1,(IM!$F$1:$F$6881=A99)*(ISNUMBER(SEARCH($C$1,IM!$AC$1:$AC$6881))),0),"檢核"),"未登錄"),"")</f>
        <v/>
      </c>
      <c r="M99" s="394">
        <f>Q99&amp;IF(AND(S99&lt;&gt;"",AND(Q99&lt;&gt;"")),$P$2,"")&amp;S99&amp;IF(U99&lt;&gt;"",$P$2,"")&amp;U99</f>
        <v/>
      </c>
      <c r="N99" s="283">
        <f t="array" ref="N99">IF(AND(
    SUMPRODUCT(
        (IM!$F$2:$F$1181=A99) *
        ISNUMBER(SEARCH("*HUB*", IM!$AC$2:$AC$1181)) *
        (IM!$X$2:$X$1181&gt;=$A$1) *
        (IM!$X$2:$X$1181&lt;=$B$1)*(Z99="HUB")
    ) &gt; 0
), "HUB", "")</f>
        <v/>
      </c>
      <c r="O99" s="397">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4">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5">
        <f t="array" ref="V99">IFERROR(INDEX(IM!$AM$2:$AM$9382, MATCH(1, (IM!$F$2:$F$9382=A99) * (ISNUMBER(SEARCH($F$1, IM!$AC$2:$AC$9382))), 0)), "")</f>
        <v/>
      </c>
      <c r="W99" s="228">
        <f>IF(AND(AA99&lt;&gt;"", AB99&lt;&gt;""), 2, IF(OR(AA99&lt;&gt;"", AB99&lt;&gt;""), 1, 0))</f>
        <v/>
      </c>
      <c r="X99" s="228" t="n"/>
      <c r="Y99" s="390">
        <f>IF(OR(S99="STAR", W99="", X99=""), W99,
"總數：" &amp; W99 &amp; CHAR(10) &amp;
"已維修：" &amp; X99 &amp; CHAR(10) &amp;
"未更換：" &amp; (W99 - X99))</f>
        <v/>
      </c>
      <c r="Z99" s="221">
        <f>IF(VLOOKUP(A99,'0919門市清單主檔'!B:AC,28,FALSE)=0,"",VLOOKUP(A99,'0919門市清單主檔'!B:AC,28,FALSE))</f>
        <v/>
      </c>
      <c r="AA99" s="326"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0">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4">
        <f t="array" ref="J100">IFERROR(INDEX(IM!$AM$2:$AM$9333, MATCH(1, (IM!$F$2:$F$9333=A100) * (ISNUMBER(SEARCH($C$1, IM!$AC$2:$AC$9333))), 0)), "")</f>
        <v/>
      </c>
      <c r="K100" s="316">
        <f t="array" ref="K100">SUMPRODUCT((IM!$F$2:$F$9181=A100)*(IM!$AD$2:$AD$9181="O")*(ISNUMBER(SEARCH($C$1, IM!$AC$2:$AC$9181))))</f>
        <v/>
      </c>
      <c r="L100" s="330">
        <f t="array" ref="L100">IF(K100&gt;0,IFERROR(HYPERLINK("#'IM'!AC"&amp;MATCH(1,(IM!$F$1:$F$6881=A100)*(ISNUMBER(SEARCH($C$1,IM!$AC$1:$AC$6881))),0),"檢核"),"未登錄"),"")</f>
        <v/>
      </c>
      <c r="M100" s="394">
        <f>Q100&amp;IF(AND(S100&lt;&gt;"",AND(Q100&lt;&gt;"")),$P$2,"")&amp;S100&amp;IF(U100&lt;&gt;"",$P$2,"")&amp;U100</f>
        <v/>
      </c>
      <c r="N100" s="283">
        <f t="array" ref="N100">IF(AND(
    SUMPRODUCT(
        (IM!$F$2:$F$1181=A100) *
        ISNUMBER(SEARCH("*HUB*", IM!$AC$2:$AC$1181)) *
        (IM!$X$2:$X$1181&gt;=$A$1) *
        (IM!$X$2:$X$1181&lt;=$B$1)*(Z100="HUB")
    ) &gt; 0
), "HUB", "")</f>
        <v/>
      </c>
      <c r="O100" s="397">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4">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5">
        <f t="array" ref="V100">IFERROR(INDEX(IM!$AM$2:$AM$9382, MATCH(1, (IM!$F$2:$F$9382=A100) * (ISNUMBER(SEARCH($F$1, IM!$AC$2:$AC$9382))), 0)), "")</f>
        <v/>
      </c>
      <c r="W100" s="228">
        <f>IF(AND(AA100&lt;&gt;"", AB100&lt;&gt;""), 2, IF(OR(AA100&lt;&gt;"", AB100&lt;&gt;""), 1, 0))</f>
        <v/>
      </c>
      <c r="X100" s="228" t="n"/>
      <c r="Y100" s="390">
        <f>IF(OR(S100="STAR", W100="", X100=""), W100,
"總數：" &amp; W100 &amp; CHAR(10) &amp;
"已維修：" &amp; X100 &amp; CHAR(10) &amp;
"未更換：" &amp; (W100 - X100))</f>
        <v/>
      </c>
      <c r="Z100" s="221">
        <f>IF(VLOOKUP(A100,'0919門市清單主檔'!B:AC,28,FALSE)=0,"",VLOOKUP(A100,'0919門市清單主檔'!B:AC,28,FALSE))</f>
        <v/>
      </c>
      <c r="AA100" s="326"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0">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4">
        <f t="array" ref="J101">IFERROR(INDEX(IM!$AM$2:$AM$9333, MATCH(1, (IM!$F$2:$F$9333=A101) * (ISNUMBER(SEARCH($C$1, IM!$AC$2:$AC$9333))), 0)), "")</f>
        <v/>
      </c>
      <c r="K101" s="316">
        <f t="array" ref="K101">SUMPRODUCT((IM!$F$2:$F$9181=A101)*(IM!$AD$2:$AD$9181="O")*(ISNUMBER(SEARCH($C$1, IM!$AC$2:$AC$9181))))</f>
        <v/>
      </c>
      <c r="L101" s="330">
        <f t="array" ref="L101">IF(K101&gt;0,IFERROR(HYPERLINK("#'IM'!AC"&amp;MATCH(1,(IM!$F$1:$F$6881=A101)*(ISNUMBER(SEARCH($C$1,IM!$AC$1:$AC$6881))),0),"檢核"),"未登錄"),"")</f>
        <v/>
      </c>
      <c r="M101" s="394">
        <f>Q101&amp;IF(AND(S101&lt;&gt;"",AND(Q101&lt;&gt;"")),$P$2,"")&amp;S101&amp;IF(U101&lt;&gt;"",$P$2,"")&amp;U101</f>
        <v/>
      </c>
      <c r="N101" s="283">
        <f t="array" ref="N101">IF(AND(
    SUMPRODUCT(
        (IM!$F$2:$F$1181=A101) *
        ISNUMBER(SEARCH("*HUB*", IM!$AC$2:$AC$1181)) *
        (IM!$X$2:$X$1181&gt;=$A$1) *
        (IM!$X$2:$X$1181&lt;=$B$1)*(Z101="HUB")
    ) &gt; 0
), "HUB", "")</f>
        <v/>
      </c>
      <c r="O101" s="397">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4">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5">
        <f t="array" ref="V101">IFERROR(INDEX(IM!$AM$2:$AM$9382, MATCH(1, (IM!$F$2:$F$9382=A101) * (ISNUMBER(SEARCH($F$1, IM!$AC$2:$AC$9382))), 0)), "")</f>
        <v/>
      </c>
      <c r="W101" s="228">
        <f>IF(AND(AA101&lt;&gt;"", AB101&lt;&gt;""), 2, IF(OR(AA101&lt;&gt;"", AB101&lt;&gt;""), 1, 0))</f>
        <v/>
      </c>
      <c r="X101" s="228" t="n"/>
      <c r="Y101" s="390">
        <f>IF(OR(S101="STAR", W101="", X101=""), W101,
"總數：" &amp; W101 &amp; CHAR(10) &amp;
"已維修：" &amp; X101 &amp; CHAR(10) &amp;
"未更換：" &amp; (W101 - X101))</f>
        <v/>
      </c>
      <c r="Z101" s="221">
        <f>IF(VLOOKUP(A101,'0919門市清單主檔'!B:AC,28,FALSE)=0,"",VLOOKUP(A101,'0919門市清單主檔'!B:AC,28,FALSE))</f>
        <v/>
      </c>
      <c r="AA101" s="326"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0">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4">
        <f t="array" ref="J102">IFERROR(INDEX(IM!$AM$2:$AM$9333, MATCH(1, (IM!$F$2:$F$9333=A102) * (ISNUMBER(SEARCH($C$1, IM!$AC$2:$AC$9333))), 0)), "")</f>
        <v/>
      </c>
      <c r="K102" s="316">
        <f t="array" ref="K102">SUMPRODUCT((IM!$F$2:$F$9181=A102)*(IM!$AD$2:$AD$9181="O")*(ISNUMBER(SEARCH($C$1, IM!$AC$2:$AC$9181))))</f>
        <v/>
      </c>
      <c r="L102" s="330">
        <f t="array" ref="L102">IF(K102&gt;0,IFERROR(HYPERLINK("#'IM'!AC"&amp;MATCH(1,(IM!$F$1:$F$6881=A102)*(ISNUMBER(SEARCH($C$1,IM!$AC$1:$AC$6881))),0),"檢核"),"未登錄"),"")</f>
        <v/>
      </c>
      <c r="M102" s="394">
        <f>Q102&amp;IF(AND(S102&lt;&gt;"",AND(Q102&lt;&gt;"")),$P$2,"")&amp;S102&amp;IF(U102&lt;&gt;"",$P$2,"")&amp;U102</f>
        <v/>
      </c>
      <c r="N102" s="283">
        <f t="array" ref="N102">IF(AND(
    SUMPRODUCT(
        (IM!$F$2:$F$1181=A102) *
        ISNUMBER(SEARCH("*HUB*", IM!$AC$2:$AC$1181)) *
        (IM!$X$2:$X$1181&gt;=$A$1) *
        (IM!$X$2:$X$1181&lt;=$B$1)*(Z102="HUB")
    ) &gt; 0
), "HUB", "")</f>
        <v/>
      </c>
      <c r="O102" s="397">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4">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5">
        <f t="array" ref="V102">IFERROR(INDEX(IM!$AM$2:$AM$9382, MATCH(1, (IM!$F$2:$F$9382=A102) * (ISNUMBER(SEARCH($F$1, IM!$AC$2:$AC$9382))), 0)), "")</f>
        <v/>
      </c>
      <c r="W102" s="228">
        <f>IF(AND(AA102&lt;&gt;"", AB102&lt;&gt;""), 2, IF(OR(AA102&lt;&gt;"", AB102&lt;&gt;""), 1, 0))</f>
        <v/>
      </c>
      <c r="X102" s="228" t="n"/>
      <c r="Y102" s="390">
        <f>IF(OR(S102="STAR", W102="", X102=""), W102,
"總數：" &amp; W102 &amp; CHAR(10) &amp;
"已維修：" &amp; X102 &amp; CHAR(10) &amp;
"未更換：" &amp; (W102 - X102))</f>
        <v/>
      </c>
      <c r="Z102" s="221">
        <f>IF(VLOOKUP(A102,'0919門市清單主檔'!B:AC,28,FALSE)=0,"",VLOOKUP(A102,'0919門市清單主檔'!B:AC,28,FALSE))</f>
        <v/>
      </c>
      <c r="AA102" s="326"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0">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4">
        <f t="array" ref="J103">IFERROR(INDEX(IM!$AM$2:$AM$9333, MATCH(1, (IM!$F$2:$F$9333=A103) * (ISNUMBER(SEARCH($C$1, IM!$AC$2:$AC$9333))), 0)), "")</f>
        <v/>
      </c>
      <c r="K103" s="316">
        <f t="array" ref="K103">SUMPRODUCT((IM!$F$2:$F$9181=A103)*(IM!$AD$2:$AD$9181="O")*(ISNUMBER(SEARCH($C$1, IM!$AC$2:$AC$9181))))</f>
        <v/>
      </c>
      <c r="L103" s="330">
        <f t="array" ref="L103">IF(K103&gt;0,IFERROR(HYPERLINK("#'IM'!AC"&amp;MATCH(1,(IM!$F$1:$F$6881=A103)*(ISNUMBER(SEARCH($C$1,IM!$AC$1:$AC$6881))),0),"檢核"),"未登錄"),"")</f>
        <v/>
      </c>
      <c r="M103" s="394">
        <f>Q103&amp;IF(AND(S103&lt;&gt;"",AND(Q103&lt;&gt;"")),$P$2,"")&amp;S103&amp;IF(U103&lt;&gt;"",$P$2,"")&amp;U103</f>
        <v/>
      </c>
      <c r="N103" s="283">
        <f t="array" ref="N103">IF(AND(
    SUMPRODUCT(
        (IM!$F$2:$F$1181=A103) *
        ISNUMBER(SEARCH("*HUB*", IM!$AC$2:$AC$1181)) *
        (IM!$X$2:$X$1181&gt;=$A$1) *
        (IM!$X$2:$X$1181&lt;=$B$1)*(Z103="HUB")
    ) &gt; 0
), "HUB", "")</f>
        <v/>
      </c>
      <c r="O103" s="397">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4">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5">
        <f t="array" ref="V103">IFERROR(INDEX(IM!$AM$2:$AM$9382, MATCH(1, (IM!$F$2:$F$9382=A103) * (ISNUMBER(SEARCH($F$1, IM!$AC$2:$AC$9382))), 0)), "")</f>
        <v/>
      </c>
      <c r="W103" s="228">
        <f>IF(AND(AA103&lt;&gt;"", AB103&lt;&gt;""), 2, IF(OR(AA103&lt;&gt;"", AB103&lt;&gt;""), 1, 0))</f>
        <v/>
      </c>
      <c r="X103" s="228" t="n"/>
      <c r="Y103" s="390">
        <f>IF(OR(S103="STAR", W103="", X103=""), W103,
"總數：" &amp; W103 &amp; CHAR(10) &amp;
"已維修：" &amp; X103 &amp; CHAR(10) &amp;
"未更換：" &amp; (W103 - X103))</f>
        <v/>
      </c>
      <c r="Z103" s="221">
        <f>IF(VLOOKUP(A103,'0919門市清單主檔'!B:AC,28,FALSE)=0,"",VLOOKUP(A103,'0919門市清單主檔'!B:AC,28,FALSE))</f>
        <v/>
      </c>
      <c r="AA103" s="326"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0">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4">
        <f t="array" ref="J104">IFERROR(INDEX(IM!$AM$2:$AM$9333, MATCH(1, (IM!$F$2:$F$9333=A104) * (ISNUMBER(SEARCH($C$1, IM!$AC$2:$AC$9333))), 0)), "")</f>
        <v/>
      </c>
      <c r="K104" s="316">
        <f t="array" ref="K104">SUMPRODUCT((IM!$F$2:$F$9181=A104)*(IM!$AD$2:$AD$9181="O")*(ISNUMBER(SEARCH($C$1, IM!$AC$2:$AC$9181))))</f>
        <v/>
      </c>
      <c r="L104" s="330">
        <f t="array" ref="L104">IF(K104&gt;0,IFERROR(HYPERLINK("#'IM'!AC"&amp;MATCH(1,(IM!$F$1:$F$6881=A104)*(ISNUMBER(SEARCH($C$1,IM!$AC$1:$AC$6881))),0),"檢核"),"未登錄"),"")</f>
        <v/>
      </c>
      <c r="M104" s="394">
        <f>Q104&amp;IF(AND(S104&lt;&gt;"",AND(Q104&lt;&gt;"")),$P$2,"")&amp;S104&amp;IF(U104&lt;&gt;"",$P$2,"")&amp;U104</f>
        <v/>
      </c>
      <c r="N104" s="283">
        <f t="array" ref="N104">IF(AND(
    SUMPRODUCT(
        (IM!$F$2:$F$1181=A104) *
        ISNUMBER(SEARCH("*HUB*", IM!$AC$2:$AC$1181)) *
        (IM!$X$2:$X$1181&gt;=$A$1) *
        (IM!$X$2:$X$1181&lt;=$B$1)*(Z104="HUB")
    ) &gt; 0
), "HUB", "")</f>
        <v/>
      </c>
      <c r="O104" s="397">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4">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5">
        <f t="array" ref="V104">IFERROR(INDEX(IM!$AM$2:$AM$9382, MATCH(1, (IM!$F$2:$F$9382=A104) * (ISNUMBER(SEARCH($F$1, IM!$AC$2:$AC$9382))), 0)), "")</f>
        <v/>
      </c>
      <c r="W104" s="228">
        <f>IF(AND(AA104&lt;&gt;"", AB104&lt;&gt;""), 2, IF(OR(AA104&lt;&gt;"", AB104&lt;&gt;""), 1, 0))</f>
        <v/>
      </c>
      <c r="X104" s="228" t="n"/>
      <c r="Y104" s="390">
        <f>IF(OR(S104="STAR", W104="", X104=""), W104,
"總數：" &amp; W104 &amp; CHAR(10) &amp;
"已維修：" &amp; X104 &amp; CHAR(10) &amp;
"未更換：" &amp; (W104 - X104))</f>
        <v/>
      </c>
      <c r="Z104" s="221">
        <f>IF(VLOOKUP(A104,'0919門市清單主檔'!B:AC,28,FALSE)=0,"",VLOOKUP(A104,'0919門市清單主檔'!B:AC,28,FALSE))</f>
        <v/>
      </c>
      <c r="AA104" s="326"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0">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4">
        <f t="array" ref="J105">IFERROR(INDEX(IM!$AM$2:$AM$9333, MATCH(1, (IM!$F$2:$F$9333=A105) * (ISNUMBER(SEARCH($C$1, IM!$AC$2:$AC$9333))), 0)), "")</f>
        <v/>
      </c>
      <c r="K105" s="316">
        <f t="array" ref="K105">SUMPRODUCT((IM!$F$2:$F$9181=A105)*(IM!$AD$2:$AD$9181="O")*(ISNUMBER(SEARCH($C$1, IM!$AC$2:$AC$9181))))</f>
        <v/>
      </c>
      <c r="L105" s="330">
        <f t="array" ref="L105">IF(K105&gt;0,IFERROR(HYPERLINK("#'IM'!AC"&amp;MATCH(1,(IM!$F$1:$F$6881=A105)*(ISNUMBER(SEARCH($C$1,IM!$AC$1:$AC$6881))),0),"檢核"),"未登錄"),"")</f>
        <v/>
      </c>
      <c r="M105" s="394">
        <f>Q105&amp;IF(AND(S105&lt;&gt;"",AND(Q105&lt;&gt;"")),$P$2,"")&amp;S105&amp;IF(U105&lt;&gt;"",$P$2,"")&amp;U105</f>
        <v/>
      </c>
      <c r="N105" s="283">
        <f t="array" ref="N105">IF(AND(
    SUMPRODUCT(
        (IM!$F$2:$F$1181=A105) *
        ISNUMBER(SEARCH("*HUB*", IM!$AC$2:$AC$1181)) *
        (IM!$X$2:$X$1181&gt;=$A$1) *
        (IM!$X$2:$X$1181&lt;=$B$1)*(Z105="HUB")
    ) &gt; 0
), "HUB", "")</f>
        <v/>
      </c>
      <c r="O105" s="397">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4">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5">
        <f t="array" ref="V105">IFERROR(INDEX(IM!$AM$2:$AM$9382, MATCH(1, (IM!$F$2:$F$9382=A105) * (ISNUMBER(SEARCH($F$1, IM!$AC$2:$AC$9382))), 0)), "")</f>
        <v/>
      </c>
      <c r="W105" s="228">
        <f>IF(AND(AA105&lt;&gt;"", AB105&lt;&gt;""), 2, IF(OR(AA105&lt;&gt;"", AB105&lt;&gt;""), 1, 0))</f>
        <v/>
      </c>
      <c r="X105" s="228" t="n"/>
      <c r="Y105" s="390">
        <f>IF(OR(S105="STAR", W105="", X105=""), W105,
"總數：" &amp; W105 &amp; CHAR(10) &amp;
"已維修：" &amp; X105 &amp; CHAR(10) &amp;
"未更換：" &amp; (W105 - X105))</f>
        <v/>
      </c>
      <c r="Z105" s="221">
        <f>IF(VLOOKUP(A105,'0919門市清單主檔'!B:AC,28,FALSE)=0,"",VLOOKUP(A105,'0919門市清單主檔'!B:AC,28,FALSE))</f>
        <v/>
      </c>
      <c r="AA105" s="326"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0">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4">
        <f t="array" ref="J106">IFERROR(INDEX(IM!$AM$2:$AM$9333, MATCH(1, (IM!$F$2:$F$9333=A106) * (ISNUMBER(SEARCH($C$1, IM!$AC$2:$AC$9333))), 0)), "")</f>
        <v/>
      </c>
      <c r="K106" s="316">
        <f t="array" ref="K106">SUMPRODUCT((IM!$F$2:$F$9181=A106)*(IM!$AD$2:$AD$9181="O")*(ISNUMBER(SEARCH($C$1, IM!$AC$2:$AC$9181))))</f>
        <v/>
      </c>
      <c r="L106" s="330">
        <f t="array" ref="L106">IF(K106&gt;0,IFERROR(HYPERLINK("#'IM'!AC"&amp;MATCH(1,(IM!$F$1:$F$6881=A106)*(ISNUMBER(SEARCH($C$1,IM!$AC$1:$AC$6881))),0),"檢核"),"未登錄"),"")</f>
        <v/>
      </c>
      <c r="M106" s="394">
        <f>Q106&amp;IF(AND(S106&lt;&gt;"",AND(Q106&lt;&gt;"")),$P$2,"")&amp;S106&amp;IF(U106&lt;&gt;"",$P$2,"")&amp;U106</f>
        <v/>
      </c>
      <c r="N106" s="283">
        <f t="array" ref="N106">IF(AND(
    SUMPRODUCT(
        (IM!$F$2:$F$1181=A106) *
        ISNUMBER(SEARCH("*HUB*", IM!$AC$2:$AC$1181)) *
        (IM!$X$2:$X$1181&gt;=$A$1) *
        (IM!$X$2:$X$1181&lt;=$B$1)*(Z106="HUB")
    ) &gt; 0
), "HUB", "")</f>
        <v/>
      </c>
      <c r="O106" s="397">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4">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5">
        <f t="array" ref="V106">IFERROR(INDEX(IM!$AM$2:$AM$9382, MATCH(1, (IM!$F$2:$F$9382=A106) * (ISNUMBER(SEARCH($F$1, IM!$AC$2:$AC$9382))), 0)), "")</f>
        <v/>
      </c>
      <c r="W106" s="228">
        <f>IF(AND(AA106&lt;&gt;"", AB106&lt;&gt;""), 2, IF(OR(AA106&lt;&gt;"", AB106&lt;&gt;""), 1, 0))</f>
        <v/>
      </c>
      <c r="X106" s="228" t="n"/>
      <c r="Y106" s="390">
        <f>IF(OR(S106="STAR", W106="", X106=""), W106,
"總數：" &amp; W106 &amp; CHAR(10) &amp;
"已維修：" &amp; X106 &amp; CHAR(10) &amp;
"未更換：" &amp; (W106 - X106))</f>
        <v/>
      </c>
      <c r="Z106" s="221">
        <f>IF(VLOOKUP(A106,'0919門市清單主檔'!B:AC,28,FALSE)=0,"",VLOOKUP(A106,'0919門市清單主檔'!B:AC,28,FALSE))</f>
        <v/>
      </c>
      <c r="AA106" s="326"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0">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4">
        <f t="array" ref="J107">IFERROR(INDEX(IM!$AM$2:$AM$9333, MATCH(1, (IM!$F$2:$F$9333=A107) * (ISNUMBER(SEARCH($C$1, IM!$AC$2:$AC$9333))), 0)), "")</f>
        <v/>
      </c>
      <c r="K107" s="316">
        <f t="array" ref="K107">SUMPRODUCT((IM!$F$2:$F$9181=A107)*(IM!$AD$2:$AD$9181="O")*(ISNUMBER(SEARCH($C$1, IM!$AC$2:$AC$9181))))</f>
        <v/>
      </c>
      <c r="L107" s="330">
        <f t="array" ref="L107">IF(K107&gt;0,IFERROR(HYPERLINK("#'IM'!AC"&amp;MATCH(1,(IM!$F$1:$F$6881=A107)*(ISNUMBER(SEARCH($C$1,IM!$AC$1:$AC$6881))),0),"檢核"),"未登錄"),"")</f>
        <v/>
      </c>
      <c r="M107" s="394">
        <f>Q107&amp;IF(AND(S107&lt;&gt;"",AND(Q107&lt;&gt;"")),$P$2,"")&amp;S107&amp;IF(U107&lt;&gt;"",$P$2,"")&amp;U107</f>
        <v/>
      </c>
      <c r="N107" s="283">
        <f t="array" ref="N107">IF(AND(
    SUMPRODUCT(
        (IM!$F$2:$F$1181=A107) *
        ISNUMBER(SEARCH("*HUB*", IM!$AC$2:$AC$1181)) *
        (IM!$X$2:$X$1181&gt;=$A$1) *
        (IM!$X$2:$X$1181&lt;=$B$1)*(Z107="HUB")
    ) &gt; 0
), "HUB", "")</f>
        <v/>
      </c>
      <c r="O107" s="397">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4">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5">
        <f t="array" ref="V107">IFERROR(INDEX(IM!$AM$2:$AM$9382, MATCH(1, (IM!$F$2:$F$9382=A107) * (ISNUMBER(SEARCH($F$1, IM!$AC$2:$AC$9382))), 0)), "")</f>
        <v/>
      </c>
      <c r="W107" s="228">
        <f>IF(AND(AA107&lt;&gt;"", AB107&lt;&gt;""), 2, IF(OR(AA107&lt;&gt;"", AB107&lt;&gt;""), 1, 0))</f>
        <v/>
      </c>
      <c r="X107" s="228" t="n"/>
      <c r="Y107" s="390">
        <f>IF(OR(S107="STAR", W107="", X107=""), W107,
"總數：" &amp; W107 &amp; CHAR(10) &amp;
"已維修：" &amp; X107 &amp; CHAR(10) &amp;
"未更換：" &amp; (W107 - X107))</f>
        <v/>
      </c>
      <c r="Z107" s="221">
        <f>IF(VLOOKUP(A107,'0919門市清單主檔'!B:AC,28,FALSE)=0,"",VLOOKUP(A107,'0919門市清單主檔'!B:AC,28,FALSE))</f>
        <v/>
      </c>
      <c r="AA107" s="326"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0">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4">
        <f t="array" ref="J108">IFERROR(INDEX(IM!$AM$2:$AM$9333, MATCH(1, (IM!$F$2:$F$9333=A108) * (ISNUMBER(SEARCH($C$1, IM!$AC$2:$AC$9333))), 0)), "")</f>
        <v/>
      </c>
      <c r="K108" s="316">
        <f t="array" ref="K108">SUMPRODUCT((IM!$F$2:$F$9181=A108)*(IM!$AD$2:$AD$9181="O")*(ISNUMBER(SEARCH($C$1, IM!$AC$2:$AC$9181))))</f>
        <v/>
      </c>
      <c r="L108" s="330">
        <f t="array" ref="L108">IF(K108&gt;0,IFERROR(HYPERLINK("#'IM'!AC"&amp;MATCH(1,(IM!$F$1:$F$6881=A108)*(ISNUMBER(SEARCH($C$1,IM!$AC$1:$AC$6881))),0),"檢核"),"未登錄"),"")</f>
        <v/>
      </c>
      <c r="M108" s="394">
        <f>Q108&amp;IF(AND(S108&lt;&gt;"",AND(Q108&lt;&gt;"")),$P$2,"")&amp;S108&amp;IF(U108&lt;&gt;"",$P$2,"")&amp;U108</f>
        <v/>
      </c>
      <c r="N108" s="283">
        <f t="array" ref="N108">IF(AND(
    SUMPRODUCT(
        (IM!$F$2:$F$1181=A108) *
        ISNUMBER(SEARCH("*HUB*", IM!$AC$2:$AC$1181)) *
        (IM!$X$2:$X$1181&gt;=$A$1) *
        (IM!$X$2:$X$1181&lt;=$B$1)*(Z108="HUB")
    ) &gt; 0
), "HUB", "")</f>
        <v/>
      </c>
      <c r="O108" s="397">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4">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5">
        <f t="array" ref="V108">IFERROR(INDEX(IM!$AM$2:$AM$9382, MATCH(1, (IM!$F$2:$F$9382=A108) * (ISNUMBER(SEARCH($F$1, IM!$AC$2:$AC$9382))), 0)), "")</f>
        <v/>
      </c>
      <c r="W108" s="228">
        <f>IF(AND(AA108&lt;&gt;"", AB108&lt;&gt;""), 2, IF(OR(AA108&lt;&gt;"", AB108&lt;&gt;""), 1, 0))</f>
        <v/>
      </c>
      <c r="X108" s="228" t="n"/>
      <c r="Y108" s="390">
        <f>IF(OR(S108="STAR", W108="", X108=""), W108,
"總數：" &amp; W108 &amp; CHAR(10) &amp;
"已維修：" &amp; X108 &amp; CHAR(10) &amp;
"未更換：" &amp; (W108 - X108))</f>
        <v/>
      </c>
      <c r="Z108" s="221">
        <f>IF(VLOOKUP(A108,'0919門市清單主檔'!B:AC,28,FALSE)=0,"",VLOOKUP(A108,'0919門市清單主檔'!B:AC,28,FALSE))</f>
        <v/>
      </c>
      <c r="AA108" s="326"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0">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4">
        <f t="array" ref="J109">IFERROR(INDEX(IM!$AM$2:$AM$9333, MATCH(1, (IM!$F$2:$F$9333=A109) * (ISNUMBER(SEARCH($C$1, IM!$AC$2:$AC$9333))), 0)), "")</f>
        <v/>
      </c>
      <c r="K109" s="316">
        <f t="array" ref="K109">SUMPRODUCT((IM!$F$2:$F$9181=A109)*(IM!$AD$2:$AD$9181="O")*(ISNUMBER(SEARCH($C$1, IM!$AC$2:$AC$9181))))</f>
        <v/>
      </c>
      <c r="L109" s="330">
        <f t="array" ref="L109">IF(K109&gt;0,IFERROR(HYPERLINK("#'IM'!AC"&amp;MATCH(1,(IM!$F$1:$F$6881=A109)*(ISNUMBER(SEARCH($C$1,IM!$AC$1:$AC$6881))),0),"檢核"),"未登錄"),"")</f>
        <v/>
      </c>
      <c r="M109" s="394">
        <f>Q109&amp;IF(AND(S109&lt;&gt;"",AND(Q109&lt;&gt;"")),$P$2,"")&amp;S109&amp;IF(U109&lt;&gt;"",$P$2,"")&amp;U109</f>
        <v/>
      </c>
      <c r="N109" s="283">
        <f t="array" ref="N109">IF(AND(
    SUMPRODUCT(
        (IM!$F$2:$F$1181=A109) *
        ISNUMBER(SEARCH("*HUB*", IM!$AC$2:$AC$1181)) *
        (IM!$X$2:$X$1181&gt;=$A$1) *
        (IM!$X$2:$X$1181&lt;=$B$1)*(Z109="HUB")
    ) &gt; 0
), "HUB", "")</f>
        <v/>
      </c>
      <c r="O109" s="397">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4">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5">
        <f t="array" ref="V109">IFERROR(INDEX(IM!$AM$2:$AM$9382, MATCH(1, (IM!$F$2:$F$9382=A109) * (ISNUMBER(SEARCH($F$1, IM!$AC$2:$AC$9382))), 0)), "")</f>
        <v/>
      </c>
      <c r="W109" s="228">
        <f>IF(AND(AA109&lt;&gt;"", AB109&lt;&gt;""), 2, IF(OR(AA109&lt;&gt;"", AB109&lt;&gt;""), 1, 0))</f>
        <v/>
      </c>
      <c r="X109" s="228" t="n"/>
      <c r="Y109" s="390">
        <f>IF(OR(S109="STAR", W109="", X109=""), W109,
"總數：" &amp; W109 &amp; CHAR(10) &amp;
"已維修：" &amp; X109 &amp; CHAR(10) &amp;
"未更換：" &amp; (W109 - X109))</f>
        <v/>
      </c>
      <c r="Z109" s="221">
        <f>IF(VLOOKUP(A109,'0919門市清單主檔'!B:AC,28,FALSE)=0,"",VLOOKUP(A109,'0919門市清單主檔'!B:AC,28,FALSE))</f>
        <v/>
      </c>
      <c r="AA109" s="326"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0">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4">
        <f t="array" ref="J110">IFERROR(INDEX(IM!$AM$2:$AM$9333, MATCH(1, (IM!$F$2:$F$9333=A110) * (ISNUMBER(SEARCH($C$1, IM!$AC$2:$AC$9333))), 0)), "")</f>
        <v/>
      </c>
      <c r="K110" s="316">
        <f t="array" ref="K110">SUMPRODUCT((IM!$F$2:$F$9181=A110)*(IM!$AD$2:$AD$9181="O")*(ISNUMBER(SEARCH($C$1, IM!$AC$2:$AC$9181))))</f>
        <v/>
      </c>
      <c r="L110" s="330">
        <f t="array" ref="L110">IF(K110&gt;0,IFERROR(HYPERLINK("#'IM'!AC"&amp;MATCH(1,(IM!$F$1:$F$6881=A110)*(ISNUMBER(SEARCH($C$1,IM!$AC$1:$AC$6881))),0),"檢核"),"未登錄"),"")</f>
        <v/>
      </c>
      <c r="M110" s="394">
        <f>Q110&amp;IF(AND(S110&lt;&gt;"",AND(Q110&lt;&gt;"")),$P$2,"")&amp;S110&amp;IF(U110&lt;&gt;"",$P$2,"")&amp;U110</f>
        <v/>
      </c>
      <c r="N110" s="283">
        <f t="array" ref="N110">IF(AND(
    SUMPRODUCT(
        (IM!$F$2:$F$1181=A110) *
        ISNUMBER(SEARCH("*HUB*", IM!$AC$2:$AC$1181)) *
        (IM!$X$2:$X$1181&gt;=$A$1) *
        (IM!$X$2:$X$1181&lt;=$B$1)*(Z110="HUB")
    ) &gt; 0
), "HUB", "")</f>
        <v/>
      </c>
      <c r="O110" s="397">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4">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5">
        <f t="array" ref="V110">IFERROR(INDEX(IM!$AM$2:$AM$9382, MATCH(1, (IM!$F$2:$F$9382=A110) * (ISNUMBER(SEARCH($F$1, IM!$AC$2:$AC$9382))), 0)), "")</f>
        <v/>
      </c>
      <c r="W110" s="228">
        <f>IF(AND(AA110&lt;&gt;"", AB110&lt;&gt;""), 2, IF(OR(AA110&lt;&gt;"", AB110&lt;&gt;""), 1, 0))</f>
        <v/>
      </c>
      <c r="X110" s="228" t="n"/>
      <c r="Y110" s="390">
        <f>IF(OR(S110="STAR", W110="", X110=""), W110,
"總數：" &amp; W110 &amp; CHAR(10) &amp;
"已維修：" &amp; X110 &amp; CHAR(10) &amp;
"未更換：" &amp; (W110 - X110))</f>
        <v/>
      </c>
      <c r="Z110" s="221">
        <f>IF(VLOOKUP(A110,'0919門市清單主檔'!B:AC,28,FALSE)=0,"",VLOOKUP(A110,'0919門市清單主檔'!B:AC,28,FALSE))</f>
        <v/>
      </c>
      <c r="AA110" s="326"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0">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4">
        <f t="array" ref="J111">IFERROR(INDEX(IM!$AM$2:$AM$9333, MATCH(1, (IM!$F$2:$F$9333=A111) * (ISNUMBER(SEARCH($C$1, IM!$AC$2:$AC$9333))), 0)), "")</f>
        <v/>
      </c>
      <c r="K111" s="316">
        <f t="array" ref="K111">SUMPRODUCT((IM!$F$2:$F$9181=A111)*(IM!$AD$2:$AD$9181="O")*(ISNUMBER(SEARCH($C$1, IM!$AC$2:$AC$9181))))</f>
        <v/>
      </c>
      <c r="L111" s="330">
        <f t="array" ref="L111">IF(K111&gt;0,IFERROR(HYPERLINK("#'IM'!AC"&amp;MATCH(1,(IM!$F$1:$F$6881=A111)*(ISNUMBER(SEARCH($C$1,IM!$AC$1:$AC$6881))),0),"檢核"),"未登錄"),"")</f>
        <v/>
      </c>
      <c r="M111" s="394">
        <f>Q111&amp;IF(AND(S111&lt;&gt;"",AND(Q111&lt;&gt;"")),$P$2,"")&amp;S111&amp;IF(U111&lt;&gt;"",$P$2,"")&amp;U111</f>
        <v/>
      </c>
      <c r="N111" s="283">
        <f t="array" ref="N111">IF(AND(
    SUMPRODUCT(
        (IM!$F$2:$F$1181=A111) *
        ISNUMBER(SEARCH("*HUB*", IM!$AC$2:$AC$1181)) *
        (IM!$X$2:$X$1181&gt;=$A$1) *
        (IM!$X$2:$X$1181&lt;=$B$1)*(Z111="HUB")
    ) &gt; 0
), "HUB", "")</f>
        <v/>
      </c>
      <c r="O111" s="397">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4">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5">
        <f t="array" ref="V111">IFERROR(INDEX(IM!$AM$2:$AM$9382, MATCH(1, (IM!$F$2:$F$9382=A111) * (ISNUMBER(SEARCH($F$1, IM!$AC$2:$AC$9382))), 0)), "")</f>
        <v/>
      </c>
      <c r="W111" s="228">
        <f>IF(AND(AA111&lt;&gt;"", AB111&lt;&gt;""), 2, IF(OR(AA111&lt;&gt;"", AB111&lt;&gt;""), 1, 0))</f>
        <v/>
      </c>
      <c r="X111" s="228" t="n"/>
      <c r="Y111" s="390">
        <f>IF(OR(S111="STAR", W111="", X111=""), W111,
"總數：" &amp; W111 &amp; CHAR(10) &amp;
"已維修：" &amp; X111 &amp; CHAR(10) &amp;
"未更換：" &amp; (W111 - X111))</f>
        <v/>
      </c>
      <c r="Z111" s="221">
        <f>IF(VLOOKUP(A111,'0919門市清單主檔'!B:AC,28,FALSE)=0,"",VLOOKUP(A111,'0919門市清單主檔'!B:AC,28,FALSE))</f>
        <v/>
      </c>
      <c r="AA111" s="326"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0">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4">
        <f t="array" ref="J112">IFERROR(INDEX(IM!$AM$2:$AM$9333, MATCH(1, (IM!$F$2:$F$9333=A112) * (ISNUMBER(SEARCH($C$1, IM!$AC$2:$AC$9333))), 0)), "")</f>
        <v/>
      </c>
      <c r="K112" s="316">
        <f t="array" ref="K112">SUMPRODUCT((IM!$F$2:$F$9181=A112)*(IM!$AD$2:$AD$9181="O")*(ISNUMBER(SEARCH($C$1, IM!$AC$2:$AC$9181))))</f>
        <v/>
      </c>
      <c r="L112" s="330">
        <f t="array" ref="L112">IF(K112&gt;0,IFERROR(HYPERLINK("#'IM'!AC"&amp;MATCH(1,(IM!$F$1:$F$6881=A112)*(ISNUMBER(SEARCH($C$1,IM!$AC$1:$AC$6881))),0),"檢核"),"未登錄"),"")</f>
        <v/>
      </c>
      <c r="M112" s="394">
        <f>Q112&amp;IF(AND(S112&lt;&gt;"",AND(Q112&lt;&gt;"")),$P$2,"")&amp;S112&amp;IF(U112&lt;&gt;"",$P$2,"")&amp;U112</f>
        <v/>
      </c>
      <c r="N112" s="283">
        <f t="array" ref="N112">IF(AND(
    SUMPRODUCT(
        (IM!$F$2:$F$1181=A112) *
        ISNUMBER(SEARCH("*HUB*", IM!$AC$2:$AC$1181)) *
        (IM!$X$2:$X$1181&gt;=$A$1) *
        (IM!$X$2:$X$1181&lt;=$B$1)*(Z112="HUB")
    ) &gt; 0
), "HUB", "")</f>
        <v/>
      </c>
      <c r="O112" s="397">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4">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5">
        <f t="array" ref="V112">IFERROR(INDEX(IM!$AM$2:$AM$9382, MATCH(1, (IM!$F$2:$F$9382=A112) * (ISNUMBER(SEARCH($F$1, IM!$AC$2:$AC$9382))), 0)), "")</f>
        <v/>
      </c>
      <c r="W112" s="228">
        <f>IF(AND(AA112&lt;&gt;"", AB112&lt;&gt;""), 2, IF(OR(AA112&lt;&gt;"", AB112&lt;&gt;""), 1, 0))</f>
        <v/>
      </c>
      <c r="X112" s="228" t="n"/>
      <c r="Y112" s="390">
        <f>IF(OR(S112="STAR", W112="", X112=""), W112,
"總數：" &amp; W112 &amp; CHAR(10) &amp;
"已維修：" &amp; X112 &amp; CHAR(10) &amp;
"未更換：" &amp; (W112 - X112))</f>
        <v/>
      </c>
      <c r="Z112" s="221">
        <f>IF(VLOOKUP(A112,'0919門市清單主檔'!B:AC,28,FALSE)=0,"",VLOOKUP(A112,'0919門市清單主檔'!B:AC,28,FALSE))</f>
        <v/>
      </c>
      <c r="AA112" s="326"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0">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4">
        <f t="array" ref="J113">IFERROR(INDEX(IM!$AM$2:$AM$9333, MATCH(1, (IM!$F$2:$F$9333=A113) * (ISNUMBER(SEARCH($C$1, IM!$AC$2:$AC$9333))), 0)), "")</f>
        <v/>
      </c>
      <c r="K113" s="316">
        <f t="array" ref="K113">SUMPRODUCT((IM!$F$2:$F$9181=A113)*(IM!$AD$2:$AD$9181="O")*(ISNUMBER(SEARCH($C$1, IM!$AC$2:$AC$9181))))</f>
        <v/>
      </c>
      <c r="L113" s="330">
        <f t="array" ref="L113">IF(K113&gt;0,IFERROR(HYPERLINK("#'IM'!AC"&amp;MATCH(1,(IM!$F$1:$F$6881=A113)*(ISNUMBER(SEARCH($C$1,IM!$AC$1:$AC$6881))),0),"檢核"),"未登錄"),"")</f>
        <v/>
      </c>
      <c r="M113" s="394">
        <f>Q113&amp;IF(AND(S113&lt;&gt;"",AND(Q113&lt;&gt;"")),$P$2,"")&amp;S113&amp;IF(U113&lt;&gt;"",$P$2,"")&amp;U113</f>
        <v/>
      </c>
      <c r="N113" s="283">
        <f t="array" ref="N113">IF(AND(
    SUMPRODUCT(
        (IM!$F$2:$F$1181=A113) *
        ISNUMBER(SEARCH("*HUB*", IM!$AC$2:$AC$1181)) *
        (IM!$X$2:$X$1181&gt;=$A$1) *
        (IM!$X$2:$X$1181&lt;=$B$1)*(Z113="HUB")
    ) &gt; 0
), "HUB", "")</f>
        <v/>
      </c>
      <c r="O113" s="397">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4">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5">
        <f t="array" ref="V113">IFERROR(INDEX(IM!$AM$2:$AM$9382, MATCH(1, (IM!$F$2:$F$9382=A113) * (ISNUMBER(SEARCH($F$1, IM!$AC$2:$AC$9382))), 0)), "")</f>
        <v/>
      </c>
      <c r="W113" s="228">
        <f>IF(AND(AA113&lt;&gt;"", AB113&lt;&gt;""), 2, IF(OR(AA113&lt;&gt;"", AB113&lt;&gt;""), 1, 0))</f>
        <v/>
      </c>
      <c r="X113" s="228" t="n"/>
      <c r="Y113" s="390">
        <f>IF(OR(S113="STAR", W113="", X113=""), W113,
"總數：" &amp; W113 &amp; CHAR(10) &amp;
"已維修：" &amp; X113 &amp; CHAR(10) &amp;
"未更換：" &amp; (W113 - X113))</f>
        <v/>
      </c>
      <c r="Z113" s="221">
        <f>IF(VLOOKUP(A113,'0919門市清單主檔'!B:AC,28,FALSE)=0,"",VLOOKUP(A113,'0919門市清單主檔'!B:AC,28,FALSE))</f>
        <v/>
      </c>
      <c r="AA113" s="326"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0">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4">
        <f t="array" ref="J114">IFERROR(INDEX(IM!$AM$2:$AM$9333, MATCH(1, (IM!$F$2:$F$9333=A114) * (ISNUMBER(SEARCH($C$1, IM!$AC$2:$AC$9333))), 0)), "")</f>
        <v/>
      </c>
      <c r="K114" s="316">
        <f t="array" ref="K114">SUMPRODUCT((IM!$F$2:$F$9181=A114)*(IM!$AD$2:$AD$9181="O")*(ISNUMBER(SEARCH($C$1, IM!$AC$2:$AC$9181))))</f>
        <v/>
      </c>
      <c r="L114" s="330">
        <f t="array" ref="L114">IF(K114&gt;0,IFERROR(HYPERLINK("#'IM'!AC"&amp;MATCH(1,(IM!$F$1:$F$6881=A114)*(ISNUMBER(SEARCH($C$1,IM!$AC$1:$AC$6881))),0),"檢核"),"未登錄"),"")</f>
        <v/>
      </c>
      <c r="M114" s="394">
        <f>Q114&amp;IF(AND(S114&lt;&gt;"",AND(Q114&lt;&gt;"")),$P$2,"")&amp;S114&amp;IF(U114&lt;&gt;"",$P$2,"")&amp;U114</f>
        <v/>
      </c>
      <c r="N114" s="283">
        <f t="array" ref="N114">IF(AND(
    SUMPRODUCT(
        (IM!$F$2:$F$1181=A114) *
        ISNUMBER(SEARCH("*HUB*", IM!$AC$2:$AC$1181)) *
        (IM!$X$2:$X$1181&gt;=$A$1) *
        (IM!$X$2:$X$1181&lt;=$B$1)*(Z114="HUB")
    ) &gt; 0
), "HUB", "")</f>
        <v/>
      </c>
      <c r="O114" s="397">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4">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5">
        <f t="array" ref="V114">IFERROR(INDEX(IM!$AM$2:$AM$9382, MATCH(1, (IM!$F$2:$F$9382=A114) * (ISNUMBER(SEARCH($F$1, IM!$AC$2:$AC$9382))), 0)), "")</f>
        <v/>
      </c>
      <c r="W114" s="228">
        <f>IF(AND(AA114&lt;&gt;"", AB114&lt;&gt;""), 2, IF(OR(AA114&lt;&gt;"", AB114&lt;&gt;""), 1, 0))</f>
        <v/>
      </c>
      <c r="X114" s="228" t="n"/>
      <c r="Y114" s="390">
        <f>IF(OR(S114="STAR", W114="", X114=""), W114,
"總數：" &amp; W114 &amp; CHAR(10) &amp;
"已維修：" &amp; X114 &amp; CHAR(10) &amp;
"未更換：" &amp; (W114 - X114))</f>
        <v/>
      </c>
      <c r="Z114" s="221">
        <f>IF(VLOOKUP(A114,'0919門市清單主檔'!B:AC,28,FALSE)=0,"",VLOOKUP(A114,'0919門市清單主檔'!B:AC,28,FALSE))</f>
        <v/>
      </c>
      <c r="AA114" s="326"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0">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4">
        <f t="array" ref="J115">IFERROR(INDEX(IM!$AM$2:$AM$9333, MATCH(1, (IM!$F$2:$F$9333=A115) * (ISNUMBER(SEARCH($C$1, IM!$AC$2:$AC$9333))), 0)), "")</f>
        <v/>
      </c>
      <c r="K115" s="316">
        <f t="array" ref="K115">SUMPRODUCT((IM!$F$2:$F$9181=A115)*(IM!$AD$2:$AD$9181="O")*(ISNUMBER(SEARCH($C$1, IM!$AC$2:$AC$9181))))</f>
        <v/>
      </c>
      <c r="L115" s="330">
        <f t="array" ref="L115">IF(K115&gt;0,IFERROR(HYPERLINK("#'IM'!AC"&amp;MATCH(1,(IM!$F$1:$F$6881=A115)*(ISNUMBER(SEARCH($C$1,IM!$AC$1:$AC$6881))),0),"檢核"),"未登錄"),"")</f>
        <v/>
      </c>
      <c r="M115" s="394">
        <f>Q115&amp;IF(AND(S115&lt;&gt;"",AND(Q115&lt;&gt;"")),$P$2,"")&amp;S115&amp;IF(U115&lt;&gt;"",$P$2,"")&amp;U115</f>
        <v/>
      </c>
      <c r="N115" s="283">
        <f t="array" ref="N115">IF(AND(
    SUMPRODUCT(
        (IM!$F$2:$F$1181=A115) *
        ISNUMBER(SEARCH("*HUB*", IM!$AC$2:$AC$1181)) *
        (IM!$X$2:$X$1181&gt;=$A$1) *
        (IM!$X$2:$X$1181&lt;=$B$1)*(Z115="HUB")
    ) &gt; 0
), "HUB", "")</f>
        <v/>
      </c>
      <c r="O115" s="397">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4">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5">
        <f t="array" ref="V115">IFERROR(INDEX(IM!$AM$2:$AM$9382, MATCH(1, (IM!$F$2:$F$9382=A115) * (ISNUMBER(SEARCH($F$1, IM!$AC$2:$AC$9382))), 0)), "")</f>
        <v/>
      </c>
      <c r="W115" s="228">
        <f>IF(AND(AA115&lt;&gt;"", AB115&lt;&gt;""), 2, IF(OR(AA115&lt;&gt;"", AB115&lt;&gt;""), 1, 0))</f>
        <v/>
      </c>
      <c r="X115" s="228" t="n"/>
      <c r="Y115" s="390">
        <f>IF(OR(S115="STAR", W115="", X115=""), W115,
"總數：" &amp; W115 &amp; CHAR(10) &amp;
"已維修：" &amp; X115 &amp; CHAR(10) &amp;
"未更換：" &amp; (W115 - X115))</f>
        <v/>
      </c>
      <c r="Z115" s="221">
        <f>IF(VLOOKUP(A115,'0919門市清單主檔'!B:AC,28,FALSE)=0,"",VLOOKUP(A115,'0919門市清單主檔'!B:AC,28,FALSE))</f>
        <v/>
      </c>
      <c r="AA115" s="326"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0">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4">
        <f t="array" ref="J116">IFERROR(INDEX(IM!$AM$2:$AM$9333, MATCH(1, (IM!$F$2:$F$9333=A116) * (ISNUMBER(SEARCH($C$1, IM!$AC$2:$AC$9333))), 0)), "")</f>
        <v/>
      </c>
      <c r="K116" s="316">
        <f t="array" ref="K116">SUMPRODUCT((IM!$F$2:$F$9181=A116)*(IM!$AD$2:$AD$9181="O")*(ISNUMBER(SEARCH($C$1, IM!$AC$2:$AC$9181))))</f>
        <v/>
      </c>
      <c r="L116" s="330">
        <f t="array" ref="L116">IF(K116&gt;0,IFERROR(HYPERLINK("#'IM'!AC"&amp;MATCH(1,(IM!$F$1:$F$6881=A116)*(ISNUMBER(SEARCH($C$1,IM!$AC$1:$AC$6881))),0),"檢核"),"未登錄"),"")</f>
        <v/>
      </c>
      <c r="M116" s="394">
        <f>Q116&amp;IF(AND(S116&lt;&gt;"",AND(Q116&lt;&gt;"")),$P$2,"")&amp;S116&amp;IF(U116&lt;&gt;"",$P$2,"")&amp;U116</f>
        <v/>
      </c>
      <c r="N116" s="283">
        <f t="array" ref="N116">IF(AND(
    SUMPRODUCT(
        (IM!$F$2:$F$1181=A116) *
        ISNUMBER(SEARCH("*HUB*", IM!$AC$2:$AC$1181)) *
        (IM!$X$2:$X$1181&gt;=$A$1) *
        (IM!$X$2:$X$1181&lt;=$B$1)*(Z116="HUB")
    ) &gt; 0
), "HUB", "")</f>
        <v/>
      </c>
      <c r="O116" s="397">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4">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5">
        <f t="array" ref="V116">IFERROR(INDEX(IM!$AM$2:$AM$9382, MATCH(1, (IM!$F$2:$F$9382=A116) * (ISNUMBER(SEARCH($F$1, IM!$AC$2:$AC$9382))), 0)), "")</f>
        <v/>
      </c>
      <c r="W116" s="228">
        <f>IF(AND(AA116&lt;&gt;"", AB116&lt;&gt;""), 2, IF(OR(AA116&lt;&gt;"", AB116&lt;&gt;""), 1, 0))</f>
        <v/>
      </c>
      <c r="X116" s="228" t="n"/>
      <c r="Y116" s="390">
        <f>IF(OR(S116="STAR", W116="", X116=""), W116,
"總數：" &amp; W116 &amp; CHAR(10) &amp;
"已維修：" &amp; X116 &amp; CHAR(10) &amp;
"未更換：" &amp; (W116 - X116))</f>
        <v/>
      </c>
      <c r="Z116" s="221">
        <f>IF(VLOOKUP(A116,'0919門市清單主檔'!B:AC,28,FALSE)=0,"",VLOOKUP(A116,'0919門市清單主檔'!B:AC,28,FALSE))</f>
        <v/>
      </c>
      <c r="AA116" s="326"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0">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4">
        <f t="array" ref="J117">IFERROR(INDEX(IM!$AM$2:$AM$9333, MATCH(1, (IM!$F$2:$F$9333=A117) * (ISNUMBER(SEARCH($C$1, IM!$AC$2:$AC$9333))), 0)), "")</f>
        <v/>
      </c>
      <c r="K117" s="316">
        <f t="array" ref="K117">SUMPRODUCT((IM!$F$2:$F$9181=A117)*(IM!$AD$2:$AD$9181="O")*(ISNUMBER(SEARCH($C$1, IM!$AC$2:$AC$9181))))</f>
        <v/>
      </c>
      <c r="L117" s="330">
        <f t="array" ref="L117">IF(K117&gt;0,IFERROR(HYPERLINK("#'IM'!AC"&amp;MATCH(1,(IM!$F$1:$F$6881=A117)*(ISNUMBER(SEARCH($C$1,IM!$AC$1:$AC$6881))),0),"檢核"),"未登錄"),"")</f>
        <v/>
      </c>
      <c r="M117" s="394">
        <f>Q117&amp;IF(AND(S117&lt;&gt;"",AND(Q117&lt;&gt;"")),$P$2,"")&amp;S117&amp;IF(U117&lt;&gt;"",$P$2,"")&amp;U117</f>
        <v/>
      </c>
      <c r="N117" s="283">
        <f t="array" ref="N117">IF(AND(
    SUMPRODUCT(
        (IM!$F$2:$F$1181=A117) *
        ISNUMBER(SEARCH("*HUB*", IM!$AC$2:$AC$1181)) *
        (IM!$X$2:$X$1181&gt;=$A$1) *
        (IM!$X$2:$X$1181&lt;=$B$1)*(Z117="HUB")
    ) &gt; 0
), "HUB", "")</f>
        <v/>
      </c>
      <c r="O117" s="397">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4">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5">
        <f t="array" ref="V117">IFERROR(INDEX(IM!$AM$2:$AM$9382, MATCH(1, (IM!$F$2:$F$9382=A117) * (ISNUMBER(SEARCH($F$1, IM!$AC$2:$AC$9382))), 0)), "")</f>
        <v/>
      </c>
      <c r="W117" s="228">
        <f>IF(AND(AA117&lt;&gt;"", AB117&lt;&gt;""), 2, IF(OR(AA117&lt;&gt;"", AB117&lt;&gt;""), 1, 0))</f>
        <v/>
      </c>
      <c r="X117" s="228" t="n"/>
      <c r="Y117" s="390">
        <f>IF(OR(S117="STAR", W117="", X117=""), W117,
"總數：" &amp; W117 &amp; CHAR(10) &amp;
"已維修：" &amp; X117 &amp; CHAR(10) &amp;
"未更換：" &amp; (W117 - X117))</f>
        <v/>
      </c>
      <c r="Z117" s="221">
        <f>IF(VLOOKUP(A117,'0919門市清單主檔'!B:AC,28,FALSE)=0,"",VLOOKUP(A117,'0919門市清單主檔'!B:AC,28,FALSE))</f>
        <v/>
      </c>
      <c r="AA117" s="326"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0">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4">
        <f t="array" ref="J118">IFERROR(INDEX(IM!$AM$2:$AM$9333, MATCH(1, (IM!$F$2:$F$9333=A118) * (ISNUMBER(SEARCH($C$1, IM!$AC$2:$AC$9333))), 0)), "")</f>
        <v/>
      </c>
      <c r="K118" s="316">
        <f t="array" ref="K118">SUMPRODUCT((IM!$F$2:$F$9181=A118)*(IM!$AD$2:$AD$9181="O")*(ISNUMBER(SEARCH($C$1, IM!$AC$2:$AC$9181))))</f>
        <v/>
      </c>
      <c r="L118" s="330">
        <f t="array" ref="L118">IF(K118&gt;0,IFERROR(HYPERLINK("#'IM'!AC"&amp;MATCH(1,(IM!$F$1:$F$6881=A118)*(ISNUMBER(SEARCH($C$1,IM!$AC$1:$AC$6881))),0),"檢核"),"未登錄"),"")</f>
        <v/>
      </c>
      <c r="M118" s="394">
        <f>Q118&amp;IF(AND(S118&lt;&gt;"",AND(Q118&lt;&gt;"")),$P$2,"")&amp;S118&amp;IF(U118&lt;&gt;"",$P$2,"")&amp;U118</f>
        <v/>
      </c>
      <c r="N118" s="283">
        <f t="array" ref="N118">IF(AND(
    SUMPRODUCT(
        (IM!$F$2:$F$1181=A118) *
        ISNUMBER(SEARCH("*HUB*", IM!$AC$2:$AC$1181)) *
        (IM!$X$2:$X$1181&gt;=$A$1) *
        (IM!$X$2:$X$1181&lt;=$B$1)*(Z118="HUB")
    ) &gt; 0
), "HUB", "")</f>
        <v/>
      </c>
      <c r="O118" s="397">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4">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5">
        <f t="array" ref="V118">IFERROR(INDEX(IM!$AM$2:$AM$9382, MATCH(1, (IM!$F$2:$F$9382=A118) * (ISNUMBER(SEARCH($F$1, IM!$AC$2:$AC$9382))), 0)), "")</f>
        <v/>
      </c>
      <c r="W118" s="228">
        <f>IF(AND(AA118&lt;&gt;"", AB118&lt;&gt;""), 2, IF(OR(AA118&lt;&gt;"", AB118&lt;&gt;""), 1, 0))</f>
        <v/>
      </c>
      <c r="X118" s="228" t="n"/>
      <c r="Y118" s="390">
        <f>IF(OR(S118="STAR", W118="", X118=""), W118,
"總數：" &amp; W118 &amp; CHAR(10) &amp;
"已維修：" &amp; X118 &amp; CHAR(10) &amp;
"未更換：" &amp; (W118 - X118))</f>
        <v/>
      </c>
      <c r="Z118" s="221">
        <f>IF(VLOOKUP(A118,'0919門市清單主檔'!B:AC,28,FALSE)=0,"",VLOOKUP(A118,'0919門市清單主檔'!B:AC,28,FALSE))</f>
        <v/>
      </c>
      <c r="AA118" s="326"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0">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4">
        <f t="array" ref="J119">IFERROR(INDEX(IM!$AM$2:$AM$9333, MATCH(1, (IM!$F$2:$F$9333=A119) * (ISNUMBER(SEARCH($C$1, IM!$AC$2:$AC$9333))), 0)), "")</f>
        <v/>
      </c>
      <c r="K119" s="316">
        <f t="array" ref="K119">SUMPRODUCT((IM!$F$2:$F$9181=A119)*(IM!$AD$2:$AD$9181="O")*(ISNUMBER(SEARCH($C$1, IM!$AC$2:$AC$9181))))</f>
        <v/>
      </c>
      <c r="L119" s="330">
        <f t="array" ref="L119">IF(K119&gt;0,IFERROR(HYPERLINK("#'IM'!AC"&amp;MATCH(1,(IM!$F$1:$F$6881=A119)*(ISNUMBER(SEARCH($C$1,IM!$AC$1:$AC$6881))),0),"檢核"),"未登錄"),"")</f>
        <v/>
      </c>
      <c r="M119" s="394">
        <f>Q119&amp;IF(AND(S119&lt;&gt;"",AND(Q119&lt;&gt;"")),$P$2,"")&amp;S119&amp;IF(U119&lt;&gt;"",$P$2,"")&amp;U119</f>
        <v/>
      </c>
      <c r="N119" s="283">
        <f t="array" ref="N119">IF(AND(
    SUMPRODUCT(
        (IM!$F$2:$F$1181=A119) *
        ISNUMBER(SEARCH("*HUB*", IM!$AC$2:$AC$1181)) *
        (IM!$X$2:$X$1181&gt;=$A$1) *
        (IM!$X$2:$X$1181&lt;=$B$1)*(Z119="HUB")
    ) &gt; 0
), "HUB", "")</f>
        <v/>
      </c>
      <c r="O119" s="397">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4">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5">
        <f t="array" ref="V119">IFERROR(INDEX(IM!$AM$2:$AM$9382, MATCH(1, (IM!$F$2:$F$9382=A119) * (ISNUMBER(SEARCH($F$1, IM!$AC$2:$AC$9382))), 0)), "")</f>
        <v/>
      </c>
      <c r="W119" s="228">
        <f>IF(AND(AA119&lt;&gt;"", AB119&lt;&gt;""), 2, IF(OR(AA119&lt;&gt;"", AB119&lt;&gt;""), 1, 0))</f>
        <v/>
      </c>
      <c r="X119" s="228" t="n"/>
      <c r="Y119" s="390">
        <f>IF(OR(S119="STAR", W119="", X119=""), W119,
"總數：" &amp; W119 &amp; CHAR(10) &amp;
"已維修：" &amp; X119 &amp; CHAR(10) &amp;
"未更換：" &amp; (W119 - X119))</f>
        <v/>
      </c>
      <c r="Z119" s="221">
        <f>IF(VLOOKUP(A119,'0919門市清單主檔'!B:AC,28,FALSE)=0,"",VLOOKUP(A119,'0919門市清單主檔'!B:AC,28,FALSE))</f>
        <v/>
      </c>
      <c r="AA119" s="326"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0">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4">
        <f t="array" ref="J120">IFERROR(INDEX(IM!$AM$2:$AM$9333, MATCH(1, (IM!$F$2:$F$9333=A120) * (ISNUMBER(SEARCH($C$1, IM!$AC$2:$AC$9333))), 0)), "")</f>
        <v/>
      </c>
      <c r="K120" s="316">
        <f t="array" ref="K120">SUMPRODUCT((IM!$F$2:$F$9181=A120)*(IM!$AD$2:$AD$9181="O")*(ISNUMBER(SEARCH($C$1, IM!$AC$2:$AC$9181))))</f>
        <v/>
      </c>
      <c r="L120" s="330">
        <f t="array" ref="L120">IF(K120&gt;0,IFERROR(HYPERLINK("#'IM'!AC"&amp;MATCH(1,(IM!$F$1:$F$6881=A120)*(ISNUMBER(SEARCH($C$1,IM!$AC$1:$AC$6881))),0),"檢核"),"未登錄"),"")</f>
        <v/>
      </c>
      <c r="M120" s="394">
        <f>Q120&amp;IF(AND(S120&lt;&gt;"",AND(Q120&lt;&gt;"")),$P$2,"")&amp;S120&amp;IF(U120&lt;&gt;"",$P$2,"")&amp;U120</f>
        <v/>
      </c>
      <c r="N120" s="283">
        <f t="array" ref="N120">IF(AND(
    SUMPRODUCT(
        (IM!$F$2:$F$1181=A120) *
        ISNUMBER(SEARCH("*HUB*", IM!$AC$2:$AC$1181)) *
        (IM!$X$2:$X$1181&gt;=$A$1) *
        (IM!$X$2:$X$1181&lt;=$B$1)*(Z120="HUB")
    ) &gt; 0
), "HUB", "")</f>
        <v/>
      </c>
      <c r="O120" s="397">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4">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5">
        <f t="array" ref="V120">IFERROR(INDEX(IM!$AM$2:$AM$9382, MATCH(1, (IM!$F$2:$F$9382=A120) * (ISNUMBER(SEARCH($F$1, IM!$AC$2:$AC$9382))), 0)), "")</f>
        <v/>
      </c>
      <c r="W120" s="228">
        <f>IF(AND(AA120&lt;&gt;"", AB120&lt;&gt;""), 2, IF(OR(AA120&lt;&gt;"", AB120&lt;&gt;""), 1, 0))</f>
        <v/>
      </c>
      <c r="X120" s="228" t="n"/>
      <c r="Y120" s="390">
        <f>IF(OR(S120="STAR", W120="", X120=""), W120,
"總數：" &amp; W120 &amp; CHAR(10) &amp;
"已維修：" &amp; X120 &amp; CHAR(10) &amp;
"未更換：" &amp; (W120 - X120))</f>
        <v/>
      </c>
      <c r="Z120" s="221">
        <f>IF(VLOOKUP(A120,'0919門市清單主檔'!B:AC,28,FALSE)=0,"",VLOOKUP(A120,'0919門市清單主檔'!B:AC,28,FALSE))</f>
        <v/>
      </c>
      <c r="AA120" s="326"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0">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4">
        <f t="array" ref="J121">IFERROR(INDEX(IM!$AM$2:$AM$9333, MATCH(1, (IM!$F$2:$F$9333=A121) * (ISNUMBER(SEARCH($C$1, IM!$AC$2:$AC$9333))), 0)), "")</f>
        <v/>
      </c>
      <c r="K121" s="316">
        <f t="array" ref="K121">SUMPRODUCT((IM!$F$2:$F$9181=A121)*(IM!$AD$2:$AD$9181="O")*(ISNUMBER(SEARCH($C$1, IM!$AC$2:$AC$9181))))</f>
        <v/>
      </c>
      <c r="L121" s="330">
        <f t="array" ref="L121">IF(K121&gt;0,IFERROR(HYPERLINK("#'IM'!AC"&amp;MATCH(1,(IM!$F$1:$F$6881=A121)*(ISNUMBER(SEARCH($C$1,IM!$AC$1:$AC$6881))),0),"檢核"),"未登錄"),"")</f>
        <v/>
      </c>
      <c r="M121" s="394">
        <f>Q121&amp;IF(AND(S121&lt;&gt;"",AND(Q121&lt;&gt;"")),$P$2,"")&amp;S121&amp;IF(U121&lt;&gt;"",$P$2,"")&amp;U121</f>
        <v/>
      </c>
      <c r="N121" s="283">
        <f t="array" ref="N121">IF(AND(
    SUMPRODUCT(
        (IM!$F$2:$F$1181=A121) *
        ISNUMBER(SEARCH("*HUB*", IM!$AC$2:$AC$1181)) *
        (IM!$X$2:$X$1181&gt;=$A$1) *
        (IM!$X$2:$X$1181&lt;=$B$1)*(Z121="HUB")
    ) &gt; 0
), "HUB", "")</f>
        <v/>
      </c>
      <c r="O121" s="397">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4">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5">
        <f t="array" ref="V121">IFERROR(INDEX(IM!$AM$2:$AM$9382, MATCH(1, (IM!$F$2:$F$9382=A121) * (ISNUMBER(SEARCH($F$1, IM!$AC$2:$AC$9382))), 0)), "")</f>
        <v/>
      </c>
      <c r="W121" s="228">
        <f>IF(AND(AA121&lt;&gt;"", AB121&lt;&gt;""), 2, IF(OR(AA121&lt;&gt;"", AB121&lt;&gt;""), 1, 0))</f>
        <v/>
      </c>
      <c r="X121" s="228" t="n"/>
      <c r="Y121" s="390">
        <f>IF(OR(S121="STAR", W121="", X121=""), W121,
"總數：" &amp; W121 &amp; CHAR(10) &amp;
"已維修：" &amp; X121 &amp; CHAR(10) &amp;
"未更換：" &amp; (W121 - X121))</f>
        <v/>
      </c>
      <c r="Z121" s="221">
        <f>IF(VLOOKUP(A121,'0919門市清單主檔'!B:AC,28,FALSE)=0,"",VLOOKUP(A121,'0919門市清單主檔'!B:AC,28,FALSE))</f>
        <v/>
      </c>
      <c r="AA121" s="326"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0">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4">
        <f t="array" ref="J122">IFERROR(INDEX(IM!$AM$2:$AM$9333, MATCH(1, (IM!$F$2:$F$9333=A122) * (ISNUMBER(SEARCH($C$1, IM!$AC$2:$AC$9333))), 0)), "")</f>
        <v/>
      </c>
      <c r="K122" s="316">
        <f t="array" ref="K122">SUMPRODUCT((IM!$F$2:$F$9181=A122)*(IM!$AD$2:$AD$9181="O")*(ISNUMBER(SEARCH($C$1, IM!$AC$2:$AC$9181))))</f>
        <v/>
      </c>
      <c r="L122" s="330">
        <f t="array" ref="L122">IF(K122&gt;0,IFERROR(HYPERLINK("#'IM'!AC"&amp;MATCH(1,(IM!$F$1:$F$6881=A122)*(ISNUMBER(SEARCH($C$1,IM!$AC$1:$AC$6881))),0),"檢核"),"未登錄"),"")</f>
        <v/>
      </c>
      <c r="M122" s="394">
        <f>Q122&amp;IF(AND(S122&lt;&gt;"",AND(Q122&lt;&gt;"")),$P$2,"")&amp;S122&amp;IF(U122&lt;&gt;"",$P$2,"")&amp;U122</f>
        <v/>
      </c>
      <c r="N122" s="283">
        <f t="array" ref="N122">IF(AND(
    SUMPRODUCT(
        (IM!$F$2:$F$1181=A122) *
        ISNUMBER(SEARCH("*HUB*", IM!$AC$2:$AC$1181)) *
        (IM!$X$2:$X$1181&gt;=$A$1) *
        (IM!$X$2:$X$1181&lt;=$B$1)*(Z122="HUB")
    ) &gt; 0
), "HUB", "")</f>
        <v/>
      </c>
      <c r="O122" s="397">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4">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5">
        <f t="array" ref="V122">IFERROR(INDEX(IM!$AM$2:$AM$9382, MATCH(1, (IM!$F$2:$F$9382=A122) * (ISNUMBER(SEARCH($F$1, IM!$AC$2:$AC$9382))), 0)), "")</f>
        <v/>
      </c>
      <c r="W122" s="228">
        <f>IF(AND(AA122&lt;&gt;"", AB122&lt;&gt;""), 2, IF(OR(AA122&lt;&gt;"", AB122&lt;&gt;""), 1, 0))</f>
        <v/>
      </c>
      <c r="X122" s="228" t="n"/>
      <c r="Y122" s="390">
        <f>IF(OR(S122="STAR", W122="", X122=""), W122,
"總數：" &amp; W122 &amp; CHAR(10) &amp;
"已維修：" &amp; X122 &amp; CHAR(10) &amp;
"未更換：" &amp; (W122 - X122))</f>
        <v/>
      </c>
      <c r="Z122" s="221">
        <f>IF(VLOOKUP(A122,'0919門市清單主檔'!B:AC,28,FALSE)=0,"",VLOOKUP(A122,'0919門市清單主檔'!B:AC,28,FALSE))</f>
        <v/>
      </c>
      <c r="AA122" s="326"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0">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4">
        <f t="array" ref="J123">IFERROR(INDEX(IM!$AM$2:$AM$9333, MATCH(1, (IM!$F$2:$F$9333=A123) * (ISNUMBER(SEARCH($C$1, IM!$AC$2:$AC$9333))), 0)), "")</f>
        <v/>
      </c>
      <c r="K123" s="316">
        <f t="array" ref="K123">SUMPRODUCT((IM!$F$2:$F$9181=A123)*(IM!$AD$2:$AD$9181="O")*(ISNUMBER(SEARCH($C$1, IM!$AC$2:$AC$9181))))</f>
        <v/>
      </c>
      <c r="L123" s="330">
        <f t="array" ref="L123">IF(K123&gt;0,IFERROR(HYPERLINK("#'IM'!AC"&amp;MATCH(1,(IM!$F$1:$F$6881=A123)*(ISNUMBER(SEARCH($C$1,IM!$AC$1:$AC$6881))),0),"檢核"),"未登錄"),"")</f>
        <v/>
      </c>
      <c r="M123" s="394">
        <f>Q123&amp;IF(AND(S123&lt;&gt;"",AND(Q123&lt;&gt;"")),$P$2,"")&amp;S123&amp;IF(U123&lt;&gt;"",$P$2,"")&amp;U123</f>
        <v/>
      </c>
      <c r="N123" s="283">
        <f t="array" ref="N123">IF(AND(
    SUMPRODUCT(
        (IM!$F$2:$F$1181=A123) *
        ISNUMBER(SEARCH("*HUB*", IM!$AC$2:$AC$1181)) *
        (IM!$X$2:$X$1181&gt;=$A$1) *
        (IM!$X$2:$X$1181&lt;=$B$1)*(Z123="HUB")
    ) &gt; 0
), "HUB", "")</f>
        <v/>
      </c>
      <c r="O123" s="397">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4">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5">
        <f t="array" ref="V123">IFERROR(INDEX(IM!$AM$2:$AM$9382, MATCH(1, (IM!$F$2:$F$9382=A123) * (ISNUMBER(SEARCH($F$1, IM!$AC$2:$AC$9382))), 0)), "")</f>
        <v/>
      </c>
      <c r="W123" s="228">
        <f>IF(AND(AA123&lt;&gt;"", AB123&lt;&gt;""), 2, IF(OR(AA123&lt;&gt;"", AB123&lt;&gt;""), 1, 0))</f>
        <v/>
      </c>
      <c r="X123" s="228" t="n"/>
      <c r="Y123" s="390">
        <f>IF(OR(S123="STAR", W123="", X123=""), W123,
"總數：" &amp; W123 &amp; CHAR(10) &amp;
"已維修：" &amp; X123 &amp; CHAR(10) &amp;
"未更換：" &amp; (W123 - X123))</f>
        <v/>
      </c>
      <c r="Z123" s="221">
        <f>IF(VLOOKUP(A123,'0919門市清單主檔'!B:AC,28,FALSE)=0,"",VLOOKUP(A123,'0919門市清單主檔'!B:AC,28,FALSE))</f>
        <v/>
      </c>
      <c r="AA123" s="326"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0">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4">
        <f t="array" ref="J124">IFERROR(INDEX(IM!$AM$2:$AM$9333, MATCH(1, (IM!$F$2:$F$9333=A124) * (ISNUMBER(SEARCH($C$1, IM!$AC$2:$AC$9333))), 0)), "")</f>
        <v/>
      </c>
      <c r="K124" s="316">
        <f t="array" ref="K124">SUMPRODUCT((IM!$F$2:$F$9181=A124)*(IM!$AD$2:$AD$9181="O")*(ISNUMBER(SEARCH($C$1, IM!$AC$2:$AC$9181))))</f>
        <v/>
      </c>
      <c r="L124" s="330">
        <f t="array" ref="L124">IF(K124&gt;0,IFERROR(HYPERLINK("#'IM'!AC"&amp;MATCH(1,(IM!$F$1:$F$6881=A124)*(ISNUMBER(SEARCH($C$1,IM!$AC$1:$AC$6881))),0),"檢核"),"未登錄"),"")</f>
        <v/>
      </c>
      <c r="M124" s="394">
        <f>Q124&amp;IF(AND(S124&lt;&gt;"",AND(Q124&lt;&gt;"")),$P$2,"")&amp;S124&amp;IF(U124&lt;&gt;"",$P$2,"")&amp;U124</f>
        <v/>
      </c>
      <c r="N124" s="283">
        <f t="array" ref="N124">IF(AND(
    SUMPRODUCT(
        (IM!$F$2:$F$1181=A124) *
        ISNUMBER(SEARCH("*HUB*", IM!$AC$2:$AC$1181)) *
        (IM!$X$2:$X$1181&gt;=$A$1) *
        (IM!$X$2:$X$1181&lt;=$B$1)*(Z124="HUB")
    ) &gt; 0
), "HUB", "")</f>
        <v/>
      </c>
      <c r="O124" s="397">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4">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5">
        <f t="array" ref="V124">IFERROR(INDEX(IM!$AM$2:$AM$9382, MATCH(1, (IM!$F$2:$F$9382=A124) * (ISNUMBER(SEARCH($F$1, IM!$AC$2:$AC$9382))), 0)), "")</f>
        <v/>
      </c>
      <c r="W124" s="228">
        <f>IF(AND(AA124&lt;&gt;"", AB124&lt;&gt;""), 2, IF(OR(AA124&lt;&gt;"", AB124&lt;&gt;""), 1, 0))</f>
        <v/>
      </c>
      <c r="X124" s="228" t="n"/>
      <c r="Y124" s="390">
        <f>IF(OR(S124="STAR", W124="", X124=""), W124,
"總數：" &amp; W124 &amp; CHAR(10) &amp;
"已維修：" &amp; X124 &amp; CHAR(10) &amp;
"未更換：" &amp; (W124 - X124))</f>
        <v/>
      </c>
      <c r="Z124" s="221">
        <f>IF(VLOOKUP(A124,'0919門市清單主檔'!B:AC,28,FALSE)=0,"",VLOOKUP(A124,'0919門市清單主檔'!B:AC,28,FALSE))</f>
        <v/>
      </c>
      <c r="AA124" s="326"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0">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4">
        <f t="array" ref="J125">IFERROR(INDEX(IM!$AM$2:$AM$9333, MATCH(1, (IM!$F$2:$F$9333=A125) * (ISNUMBER(SEARCH($C$1, IM!$AC$2:$AC$9333))), 0)), "")</f>
        <v/>
      </c>
      <c r="K125" s="316">
        <f t="array" ref="K125">SUMPRODUCT((IM!$F$2:$F$9181=A125)*(IM!$AD$2:$AD$9181="O")*(ISNUMBER(SEARCH($C$1, IM!$AC$2:$AC$9181))))</f>
        <v/>
      </c>
      <c r="L125" s="330">
        <f t="array" ref="L125">IF(K125&gt;0,IFERROR(HYPERLINK("#'IM'!AC"&amp;MATCH(1,(IM!$F$1:$F$6881=A125)*(ISNUMBER(SEARCH($C$1,IM!$AC$1:$AC$6881))),0),"檢核"),"未登錄"),"")</f>
        <v/>
      </c>
      <c r="M125" s="394">
        <f>Q125&amp;IF(AND(S125&lt;&gt;"",AND(Q125&lt;&gt;"")),$P$2,"")&amp;S125&amp;IF(U125&lt;&gt;"",$P$2,"")&amp;U125</f>
        <v/>
      </c>
      <c r="N125" s="283">
        <f t="array" ref="N125">IF(AND(
    SUMPRODUCT(
        (IM!$F$2:$F$1181=A125) *
        ISNUMBER(SEARCH("*HUB*", IM!$AC$2:$AC$1181)) *
        (IM!$X$2:$X$1181&gt;=$A$1) *
        (IM!$X$2:$X$1181&lt;=$B$1)*(Z125="HUB")
    ) &gt; 0
), "HUB", "")</f>
        <v/>
      </c>
      <c r="O125" s="397">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4">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5">
        <f t="array" ref="V125">IFERROR(INDEX(IM!$AM$2:$AM$9382, MATCH(1, (IM!$F$2:$F$9382=A125) * (ISNUMBER(SEARCH($F$1, IM!$AC$2:$AC$9382))), 0)), "")</f>
        <v/>
      </c>
      <c r="W125" s="228">
        <f>IF(AND(AA125&lt;&gt;"", AB125&lt;&gt;""), 2, IF(OR(AA125&lt;&gt;"", AB125&lt;&gt;""), 1, 0))</f>
        <v/>
      </c>
      <c r="X125" s="228" t="n"/>
      <c r="Y125" s="390">
        <f>IF(OR(S125="STAR", W125="", X125=""), W125,
"總數：" &amp; W125 &amp; CHAR(10) &amp;
"已維修：" &amp; X125 &amp; CHAR(10) &amp;
"未更換：" &amp; (W125 - X125))</f>
        <v/>
      </c>
      <c r="Z125" s="221">
        <f>IF(VLOOKUP(A125,'0919門市清單主檔'!B:AC,28,FALSE)=0,"",VLOOKUP(A125,'0919門市清單主檔'!B:AC,28,FALSE))</f>
        <v/>
      </c>
      <c r="AA125" s="326"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0">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4">
        <f t="array" ref="J126">IFERROR(INDEX(IM!$AM$2:$AM$9333, MATCH(1, (IM!$F$2:$F$9333=A126) * (ISNUMBER(SEARCH($C$1, IM!$AC$2:$AC$9333))), 0)), "")</f>
        <v/>
      </c>
      <c r="K126" s="316">
        <f t="array" ref="K126">SUMPRODUCT((IM!$F$2:$F$9181=A126)*(IM!$AD$2:$AD$9181="O")*(ISNUMBER(SEARCH($C$1, IM!$AC$2:$AC$9181))))</f>
        <v/>
      </c>
      <c r="L126" s="330">
        <f t="array" ref="L126">IF(K126&gt;0,IFERROR(HYPERLINK("#'IM'!AC"&amp;MATCH(1,(IM!$F$1:$F$6881=A126)*(ISNUMBER(SEARCH($C$1,IM!$AC$1:$AC$6881))),0),"檢核"),"未登錄"),"")</f>
        <v/>
      </c>
      <c r="M126" s="394">
        <f>Q126&amp;IF(AND(S126&lt;&gt;"",AND(Q126&lt;&gt;"")),$P$2,"")&amp;S126&amp;IF(U126&lt;&gt;"",$P$2,"")&amp;U126</f>
        <v/>
      </c>
      <c r="N126" s="283">
        <f t="array" ref="N126">IF(AND(
    SUMPRODUCT(
        (IM!$F$2:$F$1181=A126) *
        ISNUMBER(SEARCH("*HUB*", IM!$AC$2:$AC$1181)) *
        (IM!$X$2:$X$1181&gt;=$A$1) *
        (IM!$X$2:$X$1181&lt;=$B$1)*(Z126="HUB")
    ) &gt; 0
), "HUB", "")</f>
        <v/>
      </c>
      <c r="O126" s="397">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4">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5">
        <f t="array" ref="V126">IFERROR(INDEX(IM!$AM$2:$AM$9382, MATCH(1, (IM!$F$2:$F$9382=A126) * (ISNUMBER(SEARCH($F$1, IM!$AC$2:$AC$9382))), 0)), "")</f>
        <v/>
      </c>
      <c r="W126" s="228">
        <f>IF(AND(AA126&lt;&gt;"", AB126&lt;&gt;""), 2, IF(OR(AA126&lt;&gt;"", AB126&lt;&gt;""), 1, 0))</f>
        <v/>
      </c>
      <c r="X126" s="228" t="n"/>
      <c r="Y126" s="390">
        <f>IF(OR(S126="STAR", W126="", X126=""), W126,
"總數：" &amp; W126 &amp; CHAR(10) &amp;
"已維修：" &amp; X126 &amp; CHAR(10) &amp;
"未更換：" &amp; (W126 - X126))</f>
        <v/>
      </c>
      <c r="Z126" s="221">
        <f>IF(VLOOKUP(A126,'0919門市清單主檔'!B:AC,28,FALSE)=0,"",VLOOKUP(A126,'0919門市清單主檔'!B:AC,28,FALSE))</f>
        <v/>
      </c>
      <c r="AA126" s="326"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0">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4">
        <f t="array" ref="J127">IFERROR(INDEX(IM!$AM$2:$AM$9333, MATCH(1, (IM!$F$2:$F$9333=A127) * (ISNUMBER(SEARCH($C$1, IM!$AC$2:$AC$9333))), 0)), "")</f>
        <v/>
      </c>
      <c r="K127" s="316">
        <f t="array" ref="K127">SUMPRODUCT((IM!$F$2:$F$9181=A127)*(IM!$AD$2:$AD$9181="O")*(ISNUMBER(SEARCH($C$1, IM!$AC$2:$AC$9181))))</f>
        <v/>
      </c>
      <c r="L127" s="330">
        <f t="array" ref="L127">IF(K127&gt;0,IFERROR(HYPERLINK("#'IM'!AC"&amp;MATCH(1,(IM!$F$1:$F$6881=A127)*(ISNUMBER(SEARCH($C$1,IM!$AC$1:$AC$6881))),0),"檢核"),"未登錄"),"")</f>
        <v/>
      </c>
      <c r="M127" s="394">
        <f>Q127&amp;IF(AND(S127&lt;&gt;"",AND(Q127&lt;&gt;"")),$P$2,"")&amp;S127&amp;IF(U127&lt;&gt;"",$P$2,"")&amp;U127</f>
        <v/>
      </c>
      <c r="N127" s="283">
        <f t="array" ref="N127">IF(AND(
    SUMPRODUCT(
        (IM!$F$2:$F$1181=A127) *
        ISNUMBER(SEARCH("*HUB*", IM!$AC$2:$AC$1181)) *
        (IM!$X$2:$X$1181&gt;=$A$1) *
        (IM!$X$2:$X$1181&lt;=$B$1)*(Z127="HUB")
    ) &gt; 0
), "HUB", "")</f>
        <v/>
      </c>
      <c r="O127" s="397">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4">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5">
        <f t="array" ref="V127">IFERROR(INDEX(IM!$AM$2:$AM$9382, MATCH(1, (IM!$F$2:$F$9382=A127) * (ISNUMBER(SEARCH($F$1, IM!$AC$2:$AC$9382))), 0)), "")</f>
        <v/>
      </c>
      <c r="W127" s="228">
        <f>IF(AND(AA127&lt;&gt;"", AB127&lt;&gt;""), 2, IF(OR(AA127&lt;&gt;"", AB127&lt;&gt;""), 1, 0))</f>
        <v/>
      </c>
      <c r="X127" s="228" t="n"/>
      <c r="Y127" s="390">
        <f>IF(OR(S127="STAR", W127="", X127=""), W127,
"總數：" &amp; W127 &amp; CHAR(10) &amp;
"已維修：" &amp; X127 &amp; CHAR(10) &amp;
"未更換：" &amp; (W127 - X127))</f>
        <v/>
      </c>
      <c r="Z127" s="221">
        <f>IF(VLOOKUP(A127,'0919門市清單主檔'!B:AC,28,FALSE)=0,"",VLOOKUP(A127,'0919門市清單主檔'!B:AC,28,FALSE))</f>
        <v/>
      </c>
      <c r="AA127" s="326"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0">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4">
        <f t="array" ref="J128">IFERROR(INDEX(IM!$AM$2:$AM$9333, MATCH(1, (IM!$F$2:$F$9333=A128) * (ISNUMBER(SEARCH($C$1, IM!$AC$2:$AC$9333))), 0)), "")</f>
        <v/>
      </c>
      <c r="K128" s="316">
        <f t="array" ref="K128">SUMPRODUCT((IM!$F$2:$F$9181=A128)*(IM!$AD$2:$AD$9181="O")*(ISNUMBER(SEARCH($C$1, IM!$AC$2:$AC$9181))))</f>
        <v/>
      </c>
      <c r="L128" s="330">
        <f t="array" ref="L128">IF(K128&gt;0,IFERROR(HYPERLINK("#'IM'!AC"&amp;MATCH(1,(IM!$F$1:$F$6881=A128)*(ISNUMBER(SEARCH($C$1,IM!$AC$1:$AC$6881))),0),"檢核"),"未登錄"),"")</f>
        <v/>
      </c>
      <c r="M128" s="394">
        <f>Q128&amp;IF(AND(S128&lt;&gt;"",AND(Q128&lt;&gt;"")),$P$2,"")&amp;S128&amp;IF(U128&lt;&gt;"",$P$2,"")&amp;U128</f>
        <v/>
      </c>
      <c r="N128" s="283">
        <f t="array" ref="N128">IF(AND(
    SUMPRODUCT(
        (IM!$F$2:$F$1181=A128) *
        ISNUMBER(SEARCH("*HUB*", IM!$AC$2:$AC$1181)) *
        (IM!$X$2:$X$1181&gt;=$A$1) *
        (IM!$X$2:$X$1181&lt;=$B$1)*(Z128="HUB")
    ) &gt; 0
), "HUB", "")</f>
        <v/>
      </c>
      <c r="O128" s="397">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4">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5">
        <f t="array" ref="V128">IFERROR(INDEX(IM!$AM$2:$AM$9382, MATCH(1, (IM!$F$2:$F$9382=A128) * (ISNUMBER(SEARCH($F$1, IM!$AC$2:$AC$9382))), 0)), "")</f>
        <v/>
      </c>
      <c r="W128" s="228">
        <f>IF(AND(AA128&lt;&gt;"", AB128&lt;&gt;""), 2, IF(OR(AA128&lt;&gt;"", AB128&lt;&gt;""), 1, 0))</f>
        <v/>
      </c>
      <c r="X128" s="228" t="n"/>
      <c r="Y128" s="390">
        <f>IF(OR(S128="STAR", W128="", X128=""), W128,
"總數：" &amp; W128 &amp; CHAR(10) &amp;
"已維修：" &amp; X128 &amp; CHAR(10) &amp;
"未更換：" &amp; (W128 - X128))</f>
        <v/>
      </c>
      <c r="Z128" s="221">
        <f>IF(VLOOKUP(A128,'0919門市清單主檔'!B:AC,28,FALSE)=0,"",VLOOKUP(A128,'0919門市清單主檔'!B:AC,28,FALSE))</f>
        <v/>
      </c>
      <c r="AA128" s="326"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0">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4">
        <f t="array" ref="J129">IFERROR(INDEX(IM!$AM$2:$AM$9333, MATCH(1, (IM!$F$2:$F$9333=A129) * (ISNUMBER(SEARCH($C$1, IM!$AC$2:$AC$9333))), 0)), "")</f>
        <v/>
      </c>
      <c r="K129" s="316">
        <f t="array" ref="K129">SUMPRODUCT((IM!$F$2:$F$9181=A129)*(IM!$AD$2:$AD$9181="O")*(ISNUMBER(SEARCH($C$1, IM!$AC$2:$AC$9181))))</f>
        <v/>
      </c>
      <c r="L129" s="330">
        <f t="array" ref="L129">IF(K129&gt;0,IFERROR(HYPERLINK("#'IM'!AC"&amp;MATCH(1,(IM!$F$1:$F$6881=A129)*(ISNUMBER(SEARCH($C$1,IM!$AC$1:$AC$6881))),0),"檢核"),"未登錄"),"")</f>
        <v/>
      </c>
      <c r="M129" s="394">
        <f>Q129&amp;IF(AND(S129&lt;&gt;"",AND(Q129&lt;&gt;"")),$P$2,"")&amp;S129&amp;IF(U129&lt;&gt;"",$P$2,"")&amp;U129</f>
        <v/>
      </c>
      <c r="N129" s="283">
        <f t="array" ref="N129">IF(AND(
    SUMPRODUCT(
        (IM!$F$2:$F$1181=A129) *
        ISNUMBER(SEARCH("*HUB*", IM!$AC$2:$AC$1181)) *
        (IM!$X$2:$X$1181&gt;=$A$1) *
        (IM!$X$2:$X$1181&lt;=$B$1)*(Z129="HUB")
    ) &gt; 0
), "HUB", "")</f>
        <v/>
      </c>
      <c r="O129" s="397">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4">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5">
        <f t="array" ref="V129">IFERROR(INDEX(IM!$AM$2:$AM$9382, MATCH(1, (IM!$F$2:$F$9382=A129) * (ISNUMBER(SEARCH($F$1, IM!$AC$2:$AC$9382))), 0)), "")</f>
        <v/>
      </c>
      <c r="W129" s="228">
        <f>IF(AND(AA129&lt;&gt;"", AB129&lt;&gt;""), 2, IF(OR(AA129&lt;&gt;"", AB129&lt;&gt;""), 1, 0))</f>
        <v/>
      </c>
      <c r="X129" s="228" t="n"/>
      <c r="Y129" s="390">
        <f>IF(OR(S129="STAR", W129="", X129=""), W129,
"總數：" &amp; W129 &amp; CHAR(10) &amp;
"已維修：" &amp; X129 &amp; CHAR(10) &amp;
"未更換：" &amp; (W129 - X129))</f>
        <v/>
      </c>
      <c r="Z129" s="221">
        <f>IF(VLOOKUP(A129,'0919門市清單主檔'!B:AC,28,FALSE)=0,"",VLOOKUP(A129,'0919門市清單主檔'!B:AC,28,FALSE))</f>
        <v/>
      </c>
      <c r="AA129" s="326"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0">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4">
        <f t="array" ref="J130">IFERROR(INDEX(IM!$AM$2:$AM$9333, MATCH(1, (IM!$F$2:$F$9333=A130) * (ISNUMBER(SEARCH($C$1, IM!$AC$2:$AC$9333))), 0)), "")</f>
        <v/>
      </c>
      <c r="K130" s="316">
        <f t="array" ref="K130">SUMPRODUCT((IM!$F$2:$F$9181=A130)*(IM!$AD$2:$AD$9181="O")*(ISNUMBER(SEARCH($C$1, IM!$AC$2:$AC$9181))))</f>
        <v/>
      </c>
      <c r="L130" s="330">
        <f t="array" ref="L130">IF(K130&gt;0,IFERROR(HYPERLINK("#'IM'!AC"&amp;MATCH(1,(IM!$F$1:$F$6881=A130)*(ISNUMBER(SEARCH($C$1,IM!$AC$1:$AC$6881))),0),"檢核"),"未登錄"),"")</f>
        <v/>
      </c>
      <c r="M130" s="394">
        <f>Q130&amp;IF(AND(S130&lt;&gt;"",AND(Q130&lt;&gt;"")),$P$2,"")&amp;S130&amp;IF(U130&lt;&gt;"",$P$2,"")&amp;U130</f>
        <v/>
      </c>
      <c r="N130" s="283">
        <f t="array" ref="N130">IF(AND(
    SUMPRODUCT(
        (IM!$F$2:$F$1181=A130) *
        ISNUMBER(SEARCH("*HUB*", IM!$AC$2:$AC$1181)) *
        (IM!$X$2:$X$1181&gt;=$A$1) *
        (IM!$X$2:$X$1181&lt;=$B$1)*(Z130="HUB")
    ) &gt; 0
), "HUB", "")</f>
        <v/>
      </c>
      <c r="O130" s="397">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4">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5">
        <f t="array" ref="V130">IFERROR(INDEX(IM!$AM$2:$AM$9382, MATCH(1, (IM!$F$2:$F$9382=A130) * (ISNUMBER(SEARCH($F$1, IM!$AC$2:$AC$9382))), 0)), "")</f>
        <v/>
      </c>
      <c r="W130" s="228">
        <f>IF(AND(AA130&lt;&gt;"", AB130&lt;&gt;""), 2, IF(OR(AA130&lt;&gt;"", AB130&lt;&gt;""), 1, 0))</f>
        <v/>
      </c>
      <c r="X130" s="228" t="n"/>
      <c r="Y130" s="390">
        <f>IF(OR(S130="STAR", W130="", X130=""), W130,
"總數：" &amp; W130 &amp; CHAR(10) &amp;
"已維修：" &amp; X130 &amp; CHAR(10) &amp;
"未更換：" &amp; (W130 - X130))</f>
        <v/>
      </c>
      <c r="Z130" s="221">
        <f>IF(VLOOKUP(A130,'0919門市清單主檔'!B:AC,28,FALSE)=0,"",VLOOKUP(A130,'0919門市清單主檔'!B:AC,28,FALSE))</f>
        <v/>
      </c>
      <c r="AA130" s="326"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0">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4">
        <f t="array" ref="J131">IFERROR(INDEX(IM!$AM$2:$AM$9333, MATCH(1, (IM!$F$2:$F$9333=A131) * (ISNUMBER(SEARCH($C$1, IM!$AC$2:$AC$9333))), 0)), "")</f>
        <v/>
      </c>
      <c r="K131" s="316">
        <f t="array" ref="K131">SUMPRODUCT((IM!$F$2:$F$9181=A131)*(IM!$AD$2:$AD$9181="O")*(ISNUMBER(SEARCH($C$1, IM!$AC$2:$AC$9181))))</f>
        <v/>
      </c>
      <c r="L131" s="330">
        <f t="array" ref="L131">IF(K131&gt;0,IFERROR(HYPERLINK("#'IM'!AC"&amp;MATCH(1,(IM!$F$1:$F$6881=A131)*(ISNUMBER(SEARCH($C$1,IM!$AC$1:$AC$6881))),0),"檢核"),"未登錄"),"")</f>
        <v/>
      </c>
      <c r="M131" s="394">
        <f>Q131&amp;IF(AND(S131&lt;&gt;"",AND(Q131&lt;&gt;"")),$P$2,"")&amp;S131&amp;IF(U131&lt;&gt;"",$P$2,"")&amp;U131</f>
        <v/>
      </c>
      <c r="N131" s="283">
        <f t="array" ref="N131">IF(AND(
    SUMPRODUCT(
        (IM!$F$2:$F$1181=A131) *
        ISNUMBER(SEARCH("*HUB*", IM!$AC$2:$AC$1181)) *
        (IM!$X$2:$X$1181&gt;=$A$1) *
        (IM!$X$2:$X$1181&lt;=$B$1)*(Z131="HUB")
    ) &gt; 0
), "HUB", "")</f>
        <v/>
      </c>
      <c r="O131" s="397">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4">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5">
        <f t="array" ref="V131">IFERROR(INDEX(IM!$AM$2:$AM$9382, MATCH(1, (IM!$F$2:$F$9382=A131) * (ISNUMBER(SEARCH($F$1, IM!$AC$2:$AC$9382))), 0)), "")</f>
        <v/>
      </c>
      <c r="W131" s="228">
        <f>IF(AND(AA131&lt;&gt;"", AB131&lt;&gt;""), 2, IF(OR(AA131&lt;&gt;"", AB131&lt;&gt;""), 1, 0))</f>
        <v/>
      </c>
      <c r="X131" s="228" t="n"/>
      <c r="Y131" s="390">
        <f>IF(OR(S131="STAR", W131="", X131=""), W131,
"總數：" &amp; W131 &amp; CHAR(10) &amp;
"已維修：" &amp; X131 &amp; CHAR(10) &amp;
"未更換：" &amp; (W131 - X131))</f>
        <v/>
      </c>
      <c r="Z131" s="221">
        <f>IF(VLOOKUP(A131,'0919門市清單主檔'!B:AC,28,FALSE)=0,"",VLOOKUP(A131,'0919門市清單主檔'!B:AC,28,FALSE))</f>
        <v/>
      </c>
      <c r="AA131" s="326"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0">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4">
        <f t="array" ref="J132">IFERROR(INDEX(IM!$AM$2:$AM$9333, MATCH(1, (IM!$F$2:$F$9333=A132) * (ISNUMBER(SEARCH($C$1, IM!$AC$2:$AC$9333))), 0)), "")</f>
        <v/>
      </c>
      <c r="K132" s="316">
        <f t="array" ref="K132">SUMPRODUCT((IM!$F$2:$F$9181=A132)*(IM!$AD$2:$AD$9181="O")*(ISNUMBER(SEARCH($C$1, IM!$AC$2:$AC$9181))))</f>
        <v/>
      </c>
      <c r="L132" s="330">
        <f t="array" ref="L132">IF(K132&gt;0,IFERROR(HYPERLINK("#'IM'!AC"&amp;MATCH(1,(IM!$F$1:$F$6881=A132)*(ISNUMBER(SEARCH($C$1,IM!$AC$1:$AC$6881))),0),"檢核"),"未登錄"),"")</f>
        <v/>
      </c>
      <c r="M132" s="394">
        <f>Q132&amp;IF(AND(S132&lt;&gt;"",AND(Q132&lt;&gt;"")),$P$2,"")&amp;S132&amp;IF(U132&lt;&gt;"",$P$2,"")&amp;U132</f>
        <v/>
      </c>
      <c r="N132" s="283">
        <f t="array" ref="N132">IF(AND(
    SUMPRODUCT(
        (IM!$F$2:$F$1181=A132) *
        ISNUMBER(SEARCH("*HUB*", IM!$AC$2:$AC$1181)) *
        (IM!$X$2:$X$1181&gt;=$A$1) *
        (IM!$X$2:$X$1181&lt;=$B$1)*(Z132="HUB")
    ) &gt; 0
), "HUB", "")</f>
        <v/>
      </c>
      <c r="O132" s="397">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4">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5">
        <f t="array" ref="V132">IFERROR(INDEX(IM!$AM$2:$AM$9382, MATCH(1, (IM!$F$2:$F$9382=A132) * (ISNUMBER(SEARCH($F$1, IM!$AC$2:$AC$9382))), 0)), "")</f>
        <v/>
      </c>
      <c r="W132" s="228">
        <f>IF(AND(AA132&lt;&gt;"", AB132&lt;&gt;""), 2, IF(OR(AA132&lt;&gt;"", AB132&lt;&gt;""), 1, 0))</f>
        <v/>
      </c>
      <c r="X132" s="228" t="n"/>
      <c r="Y132" s="390">
        <f>IF(OR(S132="STAR", W132="", X132=""), W132,
"總數：" &amp; W132 &amp; CHAR(10) &amp;
"已維修：" &amp; X132 &amp; CHAR(10) &amp;
"未更換：" &amp; (W132 - X132))</f>
        <v/>
      </c>
      <c r="Z132" s="221">
        <f>IF(VLOOKUP(A132,'0919門市清單主檔'!B:AC,28,FALSE)=0,"",VLOOKUP(A132,'0919門市清單主檔'!B:AC,28,FALSE))</f>
        <v/>
      </c>
      <c r="AA132" s="326"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0">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4">
        <f t="array" ref="J133">IFERROR(INDEX(IM!$AM$2:$AM$9333, MATCH(1, (IM!$F$2:$F$9333=A133) * (ISNUMBER(SEARCH($C$1, IM!$AC$2:$AC$9333))), 0)), "")</f>
        <v/>
      </c>
      <c r="K133" s="316">
        <f t="array" ref="K133">SUMPRODUCT((IM!$F$2:$F$9181=A133)*(IM!$AD$2:$AD$9181="O")*(ISNUMBER(SEARCH($C$1, IM!$AC$2:$AC$9181))))</f>
        <v/>
      </c>
      <c r="L133" s="330">
        <f t="array" ref="L133">IF(K133&gt;0,IFERROR(HYPERLINK("#'IM'!AC"&amp;MATCH(1,(IM!$F$1:$F$6881=A133)*(ISNUMBER(SEARCH($C$1,IM!$AC$1:$AC$6881))),0),"檢核"),"未登錄"),"")</f>
        <v/>
      </c>
      <c r="M133" s="394">
        <f>Q133&amp;IF(AND(S133&lt;&gt;"",AND(Q133&lt;&gt;"")),$P$2,"")&amp;S133&amp;IF(U133&lt;&gt;"",$P$2,"")&amp;U133</f>
        <v/>
      </c>
      <c r="N133" s="283">
        <f t="array" ref="N133">IF(AND(
    SUMPRODUCT(
        (IM!$F$2:$F$1181=A133) *
        ISNUMBER(SEARCH("*HUB*", IM!$AC$2:$AC$1181)) *
        (IM!$X$2:$X$1181&gt;=$A$1) *
        (IM!$X$2:$X$1181&lt;=$B$1)*(Z133="HUB")
    ) &gt; 0
), "HUB", "")</f>
        <v/>
      </c>
      <c r="O133" s="397">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4">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5">
        <f t="array" ref="V133">IFERROR(INDEX(IM!$AM$2:$AM$9382, MATCH(1, (IM!$F$2:$F$9382=A133) * (ISNUMBER(SEARCH($F$1, IM!$AC$2:$AC$9382))), 0)), "")</f>
        <v/>
      </c>
      <c r="W133" s="228">
        <f>IF(AND(AA133&lt;&gt;"", AB133&lt;&gt;""), 2, IF(OR(AA133&lt;&gt;"", AB133&lt;&gt;""), 1, 0))</f>
        <v/>
      </c>
      <c r="X133" s="228" t="n"/>
      <c r="Y133" s="390">
        <f>IF(OR(S133="STAR", W133="", X133=""), W133,
"總數：" &amp; W133 &amp; CHAR(10) &amp;
"已維修：" &amp; X133 &amp; CHAR(10) &amp;
"未更換：" &amp; (W133 - X133))</f>
        <v/>
      </c>
      <c r="Z133" s="221">
        <f>IF(VLOOKUP(A133,'0919門市清單主檔'!B:AC,28,FALSE)=0,"",VLOOKUP(A133,'0919門市清單主檔'!B:AC,28,FALSE))</f>
        <v/>
      </c>
      <c r="AA133" s="326"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0">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4">
        <f t="array" ref="J134">IFERROR(INDEX(IM!$AM$2:$AM$9333, MATCH(1, (IM!$F$2:$F$9333=A134) * (ISNUMBER(SEARCH($C$1, IM!$AC$2:$AC$9333))), 0)), "")</f>
        <v/>
      </c>
      <c r="K134" s="316">
        <f t="array" ref="K134">SUMPRODUCT((IM!$F$2:$F$9181=A134)*(IM!$AD$2:$AD$9181="O")*(ISNUMBER(SEARCH($C$1, IM!$AC$2:$AC$9181))))</f>
        <v/>
      </c>
      <c r="L134" s="330">
        <f t="array" ref="L134">IF(K134&gt;0,IFERROR(HYPERLINK("#'IM'!AC"&amp;MATCH(1,(IM!$F$1:$F$6881=A134)*(ISNUMBER(SEARCH($C$1,IM!$AC$1:$AC$6881))),0),"檢核"),"未登錄"),"")</f>
        <v/>
      </c>
      <c r="M134" s="394">
        <f>Q134&amp;IF(AND(S134&lt;&gt;"",AND(Q134&lt;&gt;"")),$P$2,"")&amp;S134&amp;IF(U134&lt;&gt;"",$P$2,"")&amp;U134</f>
        <v/>
      </c>
      <c r="N134" s="283">
        <f t="array" ref="N134">IF(AND(
    SUMPRODUCT(
        (IM!$F$2:$F$1181=A134) *
        ISNUMBER(SEARCH("*HUB*", IM!$AC$2:$AC$1181)) *
        (IM!$X$2:$X$1181&gt;=$A$1) *
        (IM!$X$2:$X$1181&lt;=$B$1)*(Z134="HUB")
    ) &gt; 0
), "HUB", "")</f>
        <v/>
      </c>
      <c r="O134" s="397">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4">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5">
        <f t="array" ref="V134">IFERROR(INDEX(IM!$AM$2:$AM$9382, MATCH(1, (IM!$F$2:$F$9382=A134) * (ISNUMBER(SEARCH($F$1, IM!$AC$2:$AC$9382))), 0)), "")</f>
        <v/>
      </c>
      <c r="W134" s="228">
        <f>IF(AND(AA134&lt;&gt;"", AB134&lt;&gt;""), 2, IF(OR(AA134&lt;&gt;"", AB134&lt;&gt;""), 1, 0))</f>
        <v/>
      </c>
      <c r="X134" s="228" t="n"/>
      <c r="Y134" s="390">
        <f>IF(OR(S134="STAR", W134="", X134=""), W134,
"總數：" &amp; W134 &amp; CHAR(10) &amp;
"已維修：" &amp; X134 &amp; CHAR(10) &amp;
"未更換：" &amp; (W134 - X134))</f>
        <v/>
      </c>
      <c r="Z134" s="221">
        <f>IF(VLOOKUP(A134,'0919門市清單主檔'!B:AC,28,FALSE)=0,"",VLOOKUP(A134,'0919門市清單主檔'!B:AC,28,FALSE))</f>
        <v/>
      </c>
      <c r="AA134" s="326"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0">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4">
        <f t="array" ref="J135">IFERROR(INDEX(IM!$AM$2:$AM$9333, MATCH(1, (IM!$F$2:$F$9333=A135) * (ISNUMBER(SEARCH($C$1, IM!$AC$2:$AC$9333))), 0)), "")</f>
        <v/>
      </c>
      <c r="K135" s="316">
        <f t="array" ref="K135">SUMPRODUCT((IM!$F$2:$F$9181=A135)*(IM!$AD$2:$AD$9181="O")*(ISNUMBER(SEARCH($C$1, IM!$AC$2:$AC$9181))))</f>
        <v/>
      </c>
      <c r="L135" s="330">
        <f t="array" ref="L135">IF(K135&gt;0,IFERROR(HYPERLINK("#'IM'!AC"&amp;MATCH(1,(IM!$F$1:$F$6881=A135)*(ISNUMBER(SEARCH($C$1,IM!$AC$1:$AC$6881))),0),"檢核"),"未登錄"),"")</f>
        <v/>
      </c>
      <c r="M135" s="394">
        <f>Q135&amp;IF(AND(S135&lt;&gt;"",AND(Q135&lt;&gt;"")),$P$2,"")&amp;S135&amp;IF(U135&lt;&gt;"",$P$2,"")&amp;U135</f>
        <v/>
      </c>
      <c r="N135" s="283">
        <f t="array" ref="N135">IF(AND(
    SUMPRODUCT(
        (IM!$F$2:$F$1181=A135) *
        ISNUMBER(SEARCH("*HUB*", IM!$AC$2:$AC$1181)) *
        (IM!$X$2:$X$1181&gt;=$A$1) *
        (IM!$X$2:$X$1181&lt;=$B$1)*(Z135="HUB")
    ) &gt; 0
), "HUB", "")</f>
        <v/>
      </c>
      <c r="O135" s="397">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4">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5">
        <f t="array" ref="V135">IFERROR(INDEX(IM!$AM$2:$AM$9382, MATCH(1, (IM!$F$2:$F$9382=A135) * (ISNUMBER(SEARCH($F$1, IM!$AC$2:$AC$9382))), 0)), "")</f>
        <v/>
      </c>
      <c r="W135" s="228">
        <f>IF(AND(AA135&lt;&gt;"", AB135&lt;&gt;""), 2, IF(OR(AA135&lt;&gt;"", AB135&lt;&gt;""), 1, 0))</f>
        <v/>
      </c>
      <c r="X135" s="228" t="n"/>
      <c r="Y135" s="390">
        <f>IF(OR(S135="STAR", W135="", X135=""), W135,
"總數：" &amp; W135 &amp; CHAR(10) &amp;
"已維修：" &amp; X135 &amp; CHAR(10) &amp;
"未更換：" &amp; (W135 - X135))</f>
        <v/>
      </c>
      <c r="Z135" s="221">
        <f>IF(VLOOKUP(A135,'0919門市清單主檔'!B:AC,28,FALSE)=0,"",VLOOKUP(A135,'0919門市清單主檔'!B:AC,28,FALSE))</f>
        <v/>
      </c>
      <c r="AA135" s="326"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0">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4">
        <f t="array" ref="J136">IFERROR(INDEX(IM!$AM$2:$AM$9333, MATCH(1, (IM!$F$2:$F$9333=A136) * (ISNUMBER(SEARCH($C$1, IM!$AC$2:$AC$9333))), 0)), "")</f>
        <v/>
      </c>
      <c r="K136" s="316">
        <f t="array" ref="K136">SUMPRODUCT((IM!$F$2:$F$9181=A136)*(IM!$AD$2:$AD$9181="O")*(ISNUMBER(SEARCH($C$1, IM!$AC$2:$AC$9181))))</f>
        <v/>
      </c>
      <c r="L136" s="330">
        <f t="array" ref="L136">IF(K136&gt;0,IFERROR(HYPERLINK("#'IM'!AC"&amp;MATCH(1,(IM!$F$1:$F$6881=A136)*(ISNUMBER(SEARCH($C$1,IM!$AC$1:$AC$6881))),0),"檢核"),"未登錄"),"")</f>
        <v/>
      </c>
      <c r="M136" s="394">
        <f>Q136&amp;IF(AND(S136&lt;&gt;"",AND(Q136&lt;&gt;"")),$P$2,"")&amp;S136&amp;IF(U136&lt;&gt;"",$P$2,"")&amp;U136</f>
        <v/>
      </c>
      <c r="N136" s="283">
        <f t="array" ref="N136">IF(AND(
    SUMPRODUCT(
        (IM!$F$2:$F$1181=A136) *
        ISNUMBER(SEARCH("*HUB*", IM!$AC$2:$AC$1181)) *
        (IM!$X$2:$X$1181&gt;=$A$1) *
        (IM!$X$2:$X$1181&lt;=$B$1)*(Z136="HUB")
    ) &gt; 0
), "HUB", "")</f>
        <v/>
      </c>
      <c r="O136" s="397">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4">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5">
        <f t="array" ref="V136">IFERROR(INDEX(IM!$AM$2:$AM$9382, MATCH(1, (IM!$F$2:$F$9382=A136) * (ISNUMBER(SEARCH($F$1, IM!$AC$2:$AC$9382))), 0)), "")</f>
        <v/>
      </c>
      <c r="W136" s="228">
        <f>IF(AND(AA136&lt;&gt;"", AB136&lt;&gt;""), 2, IF(OR(AA136&lt;&gt;"", AB136&lt;&gt;""), 1, 0))</f>
        <v/>
      </c>
      <c r="X136" s="228" t="n"/>
      <c r="Y136" s="390">
        <f>IF(OR(S136="STAR", W136="", X136=""), W136,
"總數：" &amp; W136 &amp; CHAR(10) &amp;
"已維修：" &amp; X136 &amp; CHAR(10) &amp;
"未更換：" &amp; (W136 - X136))</f>
        <v/>
      </c>
      <c r="Z136" s="221">
        <f>IF(VLOOKUP(A136,'0919門市清單主檔'!B:AC,28,FALSE)=0,"",VLOOKUP(A136,'0919門市清單主檔'!B:AC,28,FALSE))</f>
        <v/>
      </c>
      <c r="AA136" s="326"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0">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4">
        <f t="array" ref="J137">IFERROR(INDEX(IM!$AM$2:$AM$9333, MATCH(1, (IM!$F$2:$F$9333=A137) * (ISNUMBER(SEARCH($C$1, IM!$AC$2:$AC$9333))), 0)), "")</f>
        <v/>
      </c>
      <c r="K137" s="316">
        <f t="array" ref="K137">SUMPRODUCT((IM!$F$2:$F$9181=A137)*(IM!$AD$2:$AD$9181="O")*(ISNUMBER(SEARCH($C$1, IM!$AC$2:$AC$9181))))</f>
        <v/>
      </c>
      <c r="L137" s="330">
        <f t="array" ref="L137">IF(K137&gt;0,IFERROR(HYPERLINK("#'IM'!AC"&amp;MATCH(1,(IM!$F$1:$F$6881=A137)*(ISNUMBER(SEARCH($C$1,IM!$AC$1:$AC$6881))),0),"檢核"),"未登錄"),"")</f>
        <v/>
      </c>
      <c r="M137" s="394">
        <f>Q137&amp;IF(AND(S137&lt;&gt;"",AND(Q137&lt;&gt;"")),$P$2,"")&amp;S137&amp;IF(U137&lt;&gt;"",$P$2,"")&amp;U137</f>
        <v/>
      </c>
      <c r="N137" s="283">
        <f t="array" ref="N137">IF(AND(
    SUMPRODUCT(
        (IM!$F$2:$F$1181=A137) *
        ISNUMBER(SEARCH("*HUB*", IM!$AC$2:$AC$1181)) *
        (IM!$X$2:$X$1181&gt;=$A$1) *
        (IM!$X$2:$X$1181&lt;=$B$1)*(Z137="HUB")
    ) &gt; 0
), "HUB", "")</f>
        <v/>
      </c>
      <c r="O137" s="397">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4">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5">
        <f t="array" ref="V137">IFERROR(INDEX(IM!$AM$2:$AM$9382, MATCH(1, (IM!$F$2:$F$9382=A137) * (ISNUMBER(SEARCH($F$1, IM!$AC$2:$AC$9382))), 0)), "")</f>
        <v/>
      </c>
      <c r="W137" s="228">
        <f>IF(AND(AA137&lt;&gt;"", AB137&lt;&gt;""), 2, IF(OR(AA137&lt;&gt;"", AB137&lt;&gt;""), 1, 0))</f>
        <v/>
      </c>
      <c r="X137" s="228" t="n"/>
      <c r="Y137" s="390">
        <f>IF(OR(S137="STAR", W137="", X137=""), W137,
"總數：" &amp; W137 &amp; CHAR(10) &amp;
"已維修：" &amp; X137 &amp; CHAR(10) &amp;
"未更換：" &amp; (W137 - X137))</f>
        <v/>
      </c>
      <c r="Z137" s="221">
        <f>IF(VLOOKUP(A137,'0919門市清單主檔'!B:AC,28,FALSE)=0,"",VLOOKUP(A137,'0919門市清單主檔'!B:AC,28,FALSE))</f>
        <v/>
      </c>
      <c r="AA137" s="326"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0">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4">
        <f t="array" ref="J138">IFERROR(INDEX(IM!$AM$2:$AM$9333, MATCH(1, (IM!$F$2:$F$9333=A138) * (ISNUMBER(SEARCH($C$1, IM!$AC$2:$AC$9333))), 0)), "")</f>
        <v/>
      </c>
      <c r="K138" s="316">
        <f t="array" ref="K138">SUMPRODUCT((IM!$F$2:$F$9181=A138)*(IM!$AD$2:$AD$9181="O")*(ISNUMBER(SEARCH($C$1, IM!$AC$2:$AC$9181))))</f>
        <v/>
      </c>
      <c r="L138" s="330">
        <f t="array" ref="L138">IF(K138&gt;0,IFERROR(HYPERLINK("#'IM'!AC"&amp;MATCH(1,(IM!$F$1:$F$6881=A138)*(ISNUMBER(SEARCH($C$1,IM!$AC$1:$AC$6881))),0),"檢核"),"未登錄"),"")</f>
        <v/>
      </c>
      <c r="M138" s="394">
        <f>Q138&amp;IF(AND(S138&lt;&gt;"",AND(Q138&lt;&gt;"")),$P$2,"")&amp;S138&amp;IF(U138&lt;&gt;"",$P$2,"")&amp;U138</f>
        <v/>
      </c>
      <c r="N138" s="283">
        <f t="array" ref="N138">IF(AND(
    SUMPRODUCT(
        (IM!$F$2:$F$1181=A138) *
        ISNUMBER(SEARCH("*HUB*", IM!$AC$2:$AC$1181)) *
        (IM!$X$2:$X$1181&gt;=$A$1) *
        (IM!$X$2:$X$1181&lt;=$B$1)*(Z138="HUB")
    ) &gt; 0
), "HUB", "")</f>
        <v/>
      </c>
      <c r="O138" s="397">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4">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5">
        <f t="array" ref="V138">IFERROR(INDEX(IM!$AM$2:$AM$9382, MATCH(1, (IM!$F$2:$F$9382=A138) * (ISNUMBER(SEARCH($F$1, IM!$AC$2:$AC$9382))), 0)), "")</f>
        <v/>
      </c>
      <c r="W138" s="228">
        <f>IF(AND(AA138&lt;&gt;"", AB138&lt;&gt;""), 2, IF(OR(AA138&lt;&gt;"", AB138&lt;&gt;""), 1, 0))</f>
        <v/>
      </c>
      <c r="X138" s="228" t="n"/>
      <c r="Y138" s="390">
        <f>IF(OR(S138="STAR", W138="", X138=""), W138,
"總數：" &amp; W138 &amp; CHAR(10) &amp;
"已維修：" &amp; X138 &amp; CHAR(10) &amp;
"未更換：" &amp; (W138 - X138))</f>
        <v/>
      </c>
      <c r="Z138" s="221">
        <f>IF(VLOOKUP(A138,'0919門市清單主檔'!B:AC,28,FALSE)=0,"",VLOOKUP(A138,'0919門市清單主檔'!B:AC,28,FALSE))</f>
        <v/>
      </c>
      <c r="AA138" s="326"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0">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4">
        <f t="array" ref="J139">IFERROR(INDEX(IM!$AM$2:$AM$9333, MATCH(1, (IM!$F$2:$F$9333=A139) * (ISNUMBER(SEARCH($C$1, IM!$AC$2:$AC$9333))), 0)), "")</f>
        <v/>
      </c>
      <c r="K139" s="316">
        <f t="array" ref="K139">SUMPRODUCT((IM!$F$2:$F$9181=A139)*(IM!$AD$2:$AD$9181="O")*(ISNUMBER(SEARCH($C$1, IM!$AC$2:$AC$9181))))</f>
        <v/>
      </c>
      <c r="L139" s="330">
        <f t="array" ref="L139">IF(K139&gt;0,IFERROR(HYPERLINK("#'IM'!AC"&amp;MATCH(1,(IM!$F$1:$F$6881=A139)*(ISNUMBER(SEARCH($C$1,IM!$AC$1:$AC$6881))),0),"檢核"),"未登錄"),"")</f>
        <v/>
      </c>
      <c r="M139" s="394">
        <f>Q139&amp;IF(AND(S139&lt;&gt;"",AND(Q139&lt;&gt;"")),$P$2,"")&amp;S139&amp;IF(U139&lt;&gt;"",$P$2,"")&amp;U139</f>
        <v/>
      </c>
      <c r="N139" s="283">
        <f t="array" ref="N139">IF(AND(
    SUMPRODUCT(
        (IM!$F$2:$F$1181=A139) *
        ISNUMBER(SEARCH("*HUB*", IM!$AC$2:$AC$1181)) *
        (IM!$X$2:$X$1181&gt;=$A$1) *
        (IM!$X$2:$X$1181&lt;=$B$1)*(Z139="HUB")
    ) &gt; 0
), "HUB", "")</f>
        <v/>
      </c>
      <c r="O139" s="397">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4">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5">
        <f t="array" ref="V139">IFERROR(INDEX(IM!$AM$2:$AM$9382, MATCH(1, (IM!$F$2:$F$9382=A139) * (ISNUMBER(SEARCH($F$1, IM!$AC$2:$AC$9382))), 0)), "")</f>
        <v/>
      </c>
      <c r="W139" s="228">
        <f>IF(AND(AA139&lt;&gt;"", AB139&lt;&gt;""), 2, IF(OR(AA139&lt;&gt;"", AB139&lt;&gt;""), 1, 0))</f>
        <v/>
      </c>
      <c r="X139" s="228" t="n"/>
      <c r="Y139" s="390">
        <f>IF(OR(S139="STAR", W139="", X139=""), W139,
"總數：" &amp; W139 &amp; CHAR(10) &amp;
"已維修：" &amp; X139 &amp; CHAR(10) &amp;
"未更換：" &amp; (W139 - X139))</f>
        <v/>
      </c>
      <c r="Z139" s="221">
        <f>IF(VLOOKUP(A139,'0919門市清單主檔'!B:AC,28,FALSE)=0,"",VLOOKUP(A139,'0919門市清單主檔'!B:AC,28,FALSE))</f>
        <v/>
      </c>
      <c r="AA139" s="326"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0">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4">
        <f t="array" ref="J140">IFERROR(INDEX(IM!$AM$2:$AM$9333, MATCH(1, (IM!$F$2:$F$9333=A140) * (ISNUMBER(SEARCH($C$1, IM!$AC$2:$AC$9333))), 0)), "")</f>
        <v/>
      </c>
      <c r="K140" s="316">
        <f t="array" ref="K140">SUMPRODUCT((IM!$F$2:$F$9181=A140)*(IM!$AD$2:$AD$9181="O")*(ISNUMBER(SEARCH($C$1, IM!$AC$2:$AC$9181))))</f>
        <v/>
      </c>
      <c r="L140" s="330">
        <f t="array" ref="L140">IF(K140&gt;0,IFERROR(HYPERLINK("#'IM'!AC"&amp;MATCH(1,(IM!$F$1:$F$6881=A140)*(ISNUMBER(SEARCH($C$1,IM!$AC$1:$AC$6881))),0),"檢核"),"未登錄"),"")</f>
        <v/>
      </c>
      <c r="M140" s="394">
        <f>Q140&amp;IF(AND(S140&lt;&gt;"",AND(Q140&lt;&gt;"")),$P$2,"")&amp;S140&amp;IF(U140&lt;&gt;"",$P$2,"")&amp;U140</f>
        <v/>
      </c>
      <c r="N140" s="283">
        <f t="array" ref="N140">IF(AND(
    SUMPRODUCT(
        (IM!$F$2:$F$1181=A140) *
        ISNUMBER(SEARCH("*HUB*", IM!$AC$2:$AC$1181)) *
        (IM!$X$2:$X$1181&gt;=$A$1) *
        (IM!$X$2:$X$1181&lt;=$B$1)*(Z140="HUB")
    ) &gt; 0
), "HUB", "")</f>
        <v/>
      </c>
      <c r="O140" s="397">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4">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5">
        <f t="array" ref="V140">IFERROR(INDEX(IM!$AM$2:$AM$9382, MATCH(1, (IM!$F$2:$F$9382=A140) * (ISNUMBER(SEARCH($F$1, IM!$AC$2:$AC$9382))), 0)), "")</f>
        <v/>
      </c>
      <c r="W140" s="228">
        <f>IF(AND(AA140&lt;&gt;"", AB140&lt;&gt;""), 2, IF(OR(AA140&lt;&gt;"", AB140&lt;&gt;""), 1, 0))</f>
        <v/>
      </c>
      <c r="X140" s="228" t="n"/>
      <c r="Y140" s="390">
        <f>IF(OR(S140="STAR", W140="", X140=""), W140,
"總數：" &amp; W140 &amp; CHAR(10) &amp;
"已維修：" &amp; X140 &amp; CHAR(10) &amp;
"未更換：" &amp; (W140 - X140))</f>
        <v/>
      </c>
      <c r="Z140" s="221">
        <f>IF(VLOOKUP(A140,'0919門市清單主檔'!B:AC,28,FALSE)=0,"",VLOOKUP(A140,'0919門市清單主檔'!B:AC,28,FALSE))</f>
        <v/>
      </c>
      <c r="AA140" s="326"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0">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4">
        <f t="array" ref="J141">IFERROR(INDEX(IM!$AM$2:$AM$9333, MATCH(1, (IM!$F$2:$F$9333=A141) * (ISNUMBER(SEARCH($C$1, IM!$AC$2:$AC$9333))), 0)), "")</f>
        <v/>
      </c>
      <c r="K141" s="316">
        <f t="array" ref="K141">SUMPRODUCT((IM!$F$2:$F$9181=A141)*(IM!$AD$2:$AD$9181="O")*(ISNUMBER(SEARCH($C$1, IM!$AC$2:$AC$9181))))</f>
        <v/>
      </c>
      <c r="L141" s="330">
        <f t="array" ref="L141">IF(K141&gt;0,IFERROR(HYPERLINK("#'IM'!AC"&amp;MATCH(1,(IM!$F$1:$F$6881=A141)*(ISNUMBER(SEARCH($C$1,IM!$AC$1:$AC$6881))),0),"檢核"),"未登錄"),"")</f>
        <v/>
      </c>
      <c r="M141" s="394">
        <f>Q141&amp;IF(AND(S141&lt;&gt;"",AND(Q141&lt;&gt;"")),$P$2,"")&amp;S141&amp;IF(U141&lt;&gt;"",$P$2,"")&amp;U141</f>
        <v/>
      </c>
      <c r="N141" s="283">
        <f t="array" ref="N141">IF(AND(
    SUMPRODUCT(
        (IM!$F$2:$F$1181=A141) *
        ISNUMBER(SEARCH("*HUB*", IM!$AC$2:$AC$1181)) *
        (IM!$X$2:$X$1181&gt;=$A$1) *
        (IM!$X$2:$X$1181&lt;=$B$1)*(Z141="HUB")
    ) &gt; 0
), "HUB", "")</f>
        <v/>
      </c>
      <c r="O141" s="397">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4">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5">
        <f t="array" ref="V141">IFERROR(INDEX(IM!$AM$2:$AM$9382, MATCH(1, (IM!$F$2:$F$9382=A141) * (ISNUMBER(SEARCH($F$1, IM!$AC$2:$AC$9382))), 0)), "")</f>
        <v/>
      </c>
      <c r="W141" s="228">
        <f>IF(AND(AA141&lt;&gt;"", AB141&lt;&gt;""), 2, IF(OR(AA141&lt;&gt;"", AB141&lt;&gt;""), 1, 0))</f>
        <v/>
      </c>
      <c r="X141" s="228" t="n">
        <v>1</v>
      </c>
      <c r="Y141" s="390">
        <f>IF(OR(S141="STAR", W141="", X141=""), W141,
"總數：" &amp; W141 &amp; CHAR(10) &amp;
"已維修：" &amp; X141 &amp; CHAR(10) &amp;
"未更換：" &amp; (W141 - X141))</f>
        <v/>
      </c>
      <c r="Z141" s="221">
        <f>IF(VLOOKUP(A141,'0919門市清單主檔'!B:AC,28,FALSE)=0,"",VLOOKUP(A141,'0919門市清單主檔'!B:AC,28,FALSE))</f>
        <v/>
      </c>
      <c r="AA141" s="326"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0">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4">
        <f t="array" ref="J142">IFERROR(INDEX(IM!$AM$2:$AM$9333, MATCH(1, (IM!$F$2:$F$9333=A142) * (ISNUMBER(SEARCH($C$1, IM!$AC$2:$AC$9333))), 0)), "")</f>
        <v/>
      </c>
      <c r="K142" s="316">
        <f t="array" ref="K142">SUMPRODUCT((IM!$F$2:$F$9181=A142)*(IM!$AD$2:$AD$9181="O")*(ISNUMBER(SEARCH($C$1, IM!$AC$2:$AC$9181))))</f>
        <v/>
      </c>
      <c r="L142" s="330">
        <f t="array" ref="L142">IF(K142&gt;0,IFERROR(HYPERLINK("#'IM'!AC"&amp;MATCH(1,(IM!$F$1:$F$6881=A142)*(ISNUMBER(SEARCH($C$1,IM!$AC$1:$AC$6881))),0),"檢核"),"未登錄"),"")</f>
        <v/>
      </c>
      <c r="M142" s="394">
        <f>Q142&amp;IF(AND(S142&lt;&gt;"",AND(Q142&lt;&gt;"")),$P$2,"")&amp;S142&amp;IF(U142&lt;&gt;"",$P$2,"")&amp;U142</f>
        <v/>
      </c>
      <c r="N142" s="283">
        <f t="array" ref="N142">IF(AND(
    SUMPRODUCT(
        (IM!$F$2:$F$1181=A142) *
        ISNUMBER(SEARCH("*HUB*", IM!$AC$2:$AC$1181)) *
        (IM!$X$2:$X$1181&gt;=$A$1) *
        (IM!$X$2:$X$1181&lt;=$B$1)*(Z142="HUB")
    ) &gt; 0
), "HUB", "")</f>
        <v/>
      </c>
      <c r="O142" s="397">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4">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5">
        <f t="array" ref="V142">IFERROR(INDEX(IM!$AM$2:$AM$9382, MATCH(1, (IM!$F$2:$F$9382=A142) * (ISNUMBER(SEARCH($F$1, IM!$AC$2:$AC$9382))), 0)), "")</f>
        <v/>
      </c>
      <c r="W142" s="228">
        <f>IF(AND(AA142&lt;&gt;"", AB142&lt;&gt;""), 2, IF(OR(AA142&lt;&gt;"", AB142&lt;&gt;""), 1, 0))</f>
        <v/>
      </c>
      <c r="X142" s="228" t="n"/>
      <c r="Y142" s="390">
        <f>IF(OR(S142="STAR", W142="", X142=""), W142,
"總數：" &amp; W142 &amp; CHAR(10) &amp;
"已維修：" &amp; X142 &amp; CHAR(10) &amp;
"未更換：" &amp; (W142 - X142))</f>
        <v/>
      </c>
      <c r="Z142" s="221">
        <f>IF(VLOOKUP(A142,'0919門市清單主檔'!B:AC,28,FALSE)=0,"",VLOOKUP(A142,'0919門市清單主檔'!B:AC,28,FALSE))</f>
        <v/>
      </c>
      <c r="AA142" s="326"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0">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4">
        <f t="array" ref="J143">IFERROR(INDEX(IM!$AM$2:$AM$9333, MATCH(1, (IM!$F$2:$F$9333=A143) * (ISNUMBER(SEARCH($C$1, IM!$AC$2:$AC$9333))), 0)), "")</f>
        <v/>
      </c>
      <c r="K143" s="316">
        <f t="array" ref="K143">SUMPRODUCT((IM!$F$2:$F$9181=A143)*(IM!$AD$2:$AD$9181="O")*(ISNUMBER(SEARCH($C$1, IM!$AC$2:$AC$9181))))</f>
        <v/>
      </c>
      <c r="L143" s="330">
        <f t="array" ref="L143">IF(K143&gt;0,IFERROR(HYPERLINK("#'IM'!AC"&amp;MATCH(1,(IM!$F$1:$F$6881=A143)*(ISNUMBER(SEARCH($C$1,IM!$AC$1:$AC$6881))),0),"檢核"),"未登錄"),"")</f>
        <v/>
      </c>
      <c r="M143" s="394">
        <f>Q143&amp;IF(AND(S143&lt;&gt;"",AND(Q143&lt;&gt;"")),$P$2,"")&amp;S143&amp;IF(U143&lt;&gt;"",$P$2,"")&amp;U143</f>
        <v/>
      </c>
      <c r="N143" s="283">
        <f t="array" ref="N143">IF(AND(
    SUMPRODUCT(
        (IM!$F$2:$F$1181=A143) *
        ISNUMBER(SEARCH("*HUB*", IM!$AC$2:$AC$1181)) *
        (IM!$X$2:$X$1181&gt;=$A$1) *
        (IM!$X$2:$X$1181&lt;=$B$1)*(Z143="HUB")
    ) &gt; 0
), "HUB", "")</f>
        <v/>
      </c>
      <c r="O143" s="397">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4">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5">
        <f t="array" ref="V143">IFERROR(INDEX(IM!$AM$2:$AM$9382, MATCH(1, (IM!$F$2:$F$9382=A143) * (ISNUMBER(SEARCH($F$1, IM!$AC$2:$AC$9382))), 0)), "")</f>
        <v/>
      </c>
      <c r="W143" s="228">
        <f>IF(AND(AA143&lt;&gt;"", AB143&lt;&gt;""), 2, IF(OR(AA143&lt;&gt;"", AB143&lt;&gt;""), 1, 0))</f>
        <v/>
      </c>
      <c r="X143" s="228" t="n"/>
      <c r="Y143" s="390">
        <f>IF(OR(S143="STAR", W143="", X143=""), W143,
"總數：" &amp; W143 &amp; CHAR(10) &amp;
"已維修：" &amp; X143 &amp; CHAR(10) &amp;
"未更換：" &amp; (W143 - X143))</f>
        <v/>
      </c>
      <c r="Z143" s="221">
        <f>IF(VLOOKUP(A143,'0919門市清單主檔'!B:AC,28,FALSE)=0,"",VLOOKUP(A143,'0919門市清單主檔'!B:AC,28,FALSE))</f>
        <v/>
      </c>
      <c r="AA143" s="326"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0">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4">
        <f t="array" ref="J144">IFERROR(INDEX(IM!$AM$2:$AM$9333, MATCH(1, (IM!$F$2:$F$9333=A144) * (ISNUMBER(SEARCH($C$1, IM!$AC$2:$AC$9333))), 0)), "")</f>
        <v/>
      </c>
      <c r="K144" s="316">
        <f t="array" ref="K144">SUMPRODUCT((IM!$F$2:$F$9181=A144)*(IM!$AD$2:$AD$9181="O")*(ISNUMBER(SEARCH($C$1, IM!$AC$2:$AC$9181))))</f>
        <v/>
      </c>
      <c r="L144" s="330">
        <f t="array" ref="L144">IF(K144&gt;0,IFERROR(HYPERLINK("#'IM'!AC"&amp;MATCH(1,(IM!$F$1:$F$6881=A144)*(ISNUMBER(SEARCH($C$1,IM!$AC$1:$AC$6881))),0),"檢核"),"未登錄"),"")</f>
        <v/>
      </c>
      <c r="M144" s="394">
        <f>Q144&amp;IF(AND(S144&lt;&gt;"",AND(Q144&lt;&gt;"")),$P$2,"")&amp;S144&amp;IF(U144&lt;&gt;"",$P$2,"")&amp;U144</f>
        <v/>
      </c>
      <c r="N144" s="283">
        <f t="array" ref="N144">IF(AND(
    SUMPRODUCT(
        (IM!$F$2:$F$1181=A144) *
        ISNUMBER(SEARCH("*HUB*", IM!$AC$2:$AC$1181)) *
        (IM!$X$2:$X$1181&gt;=$A$1) *
        (IM!$X$2:$X$1181&lt;=$B$1)*(Z144="HUB")
    ) &gt; 0
), "HUB", "")</f>
        <v/>
      </c>
      <c r="O144" s="397">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4">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5">
        <f t="array" ref="V144">IFERROR(INDEX(IM!$AM$2:$AM$9382, MATCH(1, (IM!$F$2:$F$9382=A144) * (ISNUMBER(SEARCH($F$1, IM!$AC$2:$AC$9382))), 0)), "")</f>
        <v/>
      </c>
      <c r="W144" s="228">
        <f>IF(AND(AA144&lt;&gt;"", AB144&lt;&gt;""), 2, IF(OR(AA144&lt;&gt;"", AB144&lt;&gt;""), 1, 0))</f>
        <v/>
      </c>
      <c r="X144" s="228" t="n"/>
      <c r="Y144" s="390">
        <f>IF(OR(S144="STAR", W144="", X144=""), W144,
"總數：" &amp; W144 &amp; CHAR(10) &amp;
"已維修：" &amp; X144 &amp; CHAR(10) &amp;
"未更換：" &amp; (W144 - X144))</f>
        <v/>
      </c>
      <c r="Z144" s="221">
        <f>IF(VLOOKUP(A144,'0919門市清單主檔'!B:AC,28,FALSE)=0,"",VLOOKUP(A144,'0919門市清單主檔'!B:AC,28,FALSE))</f>
        <v/>
      </c>
      <c r="AA144" s="326"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0">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4">
        <f t="array" ref="J145">IFERROR(INDEX(IM!$AM$2:$AM$9333, MATCH(1, (IM!$F$2:$F$9333=A145) * (ISNUMBER(SEARCH($C$1, IM!$AC$2:$AC$9333))), 0)), "")</f>
        <v/>
      </c>
      <c r="K145" s="316">
        <f t="array" ref="K145">SUMPRODUCT((IM!$F$2:$F$9181=A145)*(IM!$AD$2:$AD$9181="O")*(ISNUMBER(SEARCH($C$1, IM!$AC$2:$AC$9181))))</f>
        <v/>
      </c>
      <c r="L145" s="330">
        <f t="array" ref="L145">IF(K145&gt;0,IFERROR(HYPERLINK("#'IM'!AC"&amp;MATCH(1,(IM!$F$1:$F$6881=A145)*(ISNUMBER(SEARCH($C$1,IM!$AC$1:$AC$6881))),0),"檢核"),"未登錄"),"")</f>
        <v/>
      </c>
      <c r="M145" s="394">
        <f>Q145&amp;IF(AND(S145&lt;&gt;"",AND(Q145&lt;&gt;"")),$P$2,"")&amp;S145&amp;IF(U145&lt;&gt;"",$P$2,"")&amp;U145</f>
        <v/>
      </c>
      <c r="N145" s="283">
        <f t="array" ref="N145">IF(AND(
    SUMPRODUCT(
        (IM!$F$2:$F$1181=A145) *
        ISNUMBER(SEARCH("*HUB*", IM!$AC$2:$AC$1181)) *
        (IM!$X$2:$X$1181&gt;=$A$1) *
        (IM!$X$2:$X$1181&lt;=$B$1)*(Z145="HUB")
    ) &gt; 0
), "HUB", "")</f>
        <v/>
      </c>
      <c r="O145" s="397">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4">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5">
        <f t="array" ref="V145">IFERROR(INDEX(IM!$AM$2:$AM$9382, MATCH(1, (IM!$F$2:$F$9382=A145) * (ISNUMBER(SEARCH($F$1, IM!$AC$2:$AC$9382))), 0)), "")</f>
        <v/>
      </c>
      <c r="W145" s="228">
        <f>IF(AND(AA145&lt;&gt;"", AB145&lt;&gt;""), 2, IF(OR(AA145&lt;&gt;"", AB145&lt;&gt;""), 1, 0))</f>
        <v/>
      </c>
      <c r="X145" s="228" t="n"/>
      <c r="Y145" s="390">
        <f>IF(OR(S145="STAR", W145="", X145=""), W145,
"總數：" &amp; W145 &amp; CHAR(10) &amp;
"已維修：" &amp; X145 &amp; CHAR(10) &amp;
"未更換：" &amp; (W145 - X145))</f>
        <v/>
      </c>
      <c r="Z145" s="221">
        <f>IF(VLOOKUP(A145,'0919門市清單主檔'!B:AC,28,FALSE)=0,"",VLOOKUP(A145,'0919門市清單主檔'!B:AC,28,FALSE))</f>
        <v/>
      </c>
      <c r="AA145" s="326"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0">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4">
        <f t="array" ref="J146">IFERROR(INDEX(IM!$AM$2:$AM$9333, MATCH(1, (IM!$F$2:$F$9333=A146) * (ISNUMBER(SEARCH($C$1, IM!$AC$2:$AC$9333))), 0)), "")</f>
        <v/>
      </c>
      <c r="K146" s="316">
        <f t="array" ref="K146">SUMPRODUCT((IM!$F$2:$F$9181=A146)*(IM!$AD$2:$AD$9181="O")*(ISNUMBER(SEARCH($C$1, IM!$AC$2:$AC$9181))))</f>
        <v/>
      </c>
      <c r="L146" s="330">
        <f t="array" ref="L146">IF(K146&gt;0,IFERROR(HYPERLINK("#'IM'!AC"&amp;MATCH(1,(IM!$F$1:$F$6881=A146)*(ISNUMBER(SEARCH($C$1,IM!$AC$1:$AC$6881))),0),"檢核"),"未登錄"),"")</f>
        <v/>
      </c>
      <c r="M146" s="394">
        <f>Q146&amp;IF(AND(S146&lt;&gt;"",AND(Q146&lt;&gt;"")),$P$2,"")&amp;S146&amp;IF(U146&lt;&gt;"",$P$2,"")&amp;U146</f>
        <v/>
      </c>
      <c r="N146" s="283">
        <f t="array" ref="N146">IF(AND(
    SUMPRODUCT(
        (IM!$F$2:$F$1181=A146) *
        ISNUMBER(SEARCH("*HUB*", IM!$AC$2:$AC$1181)) *
        (IM!$X$2:$X$1181&gt;=$A$1) *
        (IM!$X$2:$X$1181&lt;=$B$1)*(Z146="HUB")
    ) &gt; 0
), "HUB", "")</f>
        <v/>
      </c>
      <c r="O146" s="397">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4">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5">
        <f t="array" ref="V146">IFERROR(INDEX(IM!$AM$2:$AM$9382, MATCH(1, (IM!$F$2:$F$9382=A146) * (ISNUMBER(SEARCH($F$1, IM!$AC$2:$AC$9382))), 0)), "")</f>
        <v/>
      </c>
      <c r="W146" s="228">
        <f>IF(AND(AA146&lt;&gt;"", AB146&lt;&gt;""), 2, IF(OR(AA146&lt;&gt;"", AB146&lt;&gt;""), 1, 0))</f>
        <v/>
      </c>
      <c r="X146" s="228" t="n"/>
      <c r="Y146" s="390">
        <f>IF(OR(S146="STAR", W146="", X146=""), W146,
"總數：" &amp; W146 &amp; CHAR(10) &amp;
"已維修：" &amp; X146 &amp; CHAR(10) &amp;
"未更換：" &amp; (W146 - X146))</f>
        <v/>
      </c>
      <c r="Z146" s="221">
        <f>IF(VLOOKUP(A146,'0919門市清單主檔'!B:AC,28,FALSE)=0,"",VLOOKUP(A146,'0919門市清單主檔'!B:AC,28,FALSE))</f>
        <v/>
      </c>
      <c r="AA146" s="326"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0">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4">
        <f t="array" ref="J147">IFERROR(INDEX(IM!$AM$2:$AM$9333, MATCH(1, (IM!$F$2:$F$9333=A147) * (ISNUMBER(SEARCH($C$1, IM!$AC$2:$AC$9333))), 0)), "")</f>
        <v/>
      </c>
      <c r="K147" s="316">
        <f t="array" ref="K147">SUMPRODUCT((IM!$F$2:$F$9181=A147)*(IM!$AD$2:$AD$9181="O")*(ISNUMBER(SEARCH($C$1, IM!$AC$2:$AC$9181))))</f>
        <v/>
      </c>
      <c r="L147" s="330">
        <f t="array" ref="L147">IF(K147&gt;0,IFERROR(HYPERLINK("#'IM'!AC"&amp;MATCH(1,(IM!$F$1:$F$6881=A147)*(ISNUMBER(SEARCH($C$1,IM!$AC$1:$AC$6881))),0),"檢核"),"未登錄"),"")</f>
        <v/>
      </c>
      <c r="M147" s="394">
        <f>Q147&amp;IF(AND(S147&lt;&gt;"",AND(Q147&lt;&gt;"")),$P$2,"")&amp;S147&amp;IF(U147&lt;&gt;"",$P$2,"")&amp;U147</f>
        <v/>
      </c>
      <c r="N147" s="283">
        <f t="array" ref="N147">IF(AND(
    SUMPRODUCT(
        (IM!$F$2:$F$1181=A147) *
        ISNUMBER(SEARCH("*HUB*", IM!$AC$2:$AC$1181)) *
        (IM!$X$2:$X$1181&gt;=$A$1) *
        (IM!$X$2:$X$1181&lt;=$B$1)*(Z147="HUB")
    ) &gt; 0
), "HUB", "")</f>
        <v/>
      </c>
      <c r="O147" s="397">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4">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5">
        <f t="array" ref="V147">IFERROR(INDEX(IM!$AM$2:$AM$9382, MATCH(1, (IM!$F$2:$F$9382=A147) * (ISNUMBER(SEARCH($F$1, IM!$AC$2:$AC$9382))), 0)), "")</f>
        <v/>
      </c>
      <c r="W147" s="228">
        <f>IF(AND(AA147&lt;&gt;"", AB147&lt;&gt;""), 2, IF(OR(AA147&lt;&gt;"", AB147&lt;&gt;""), 1, 0))</f>
        <v/>
      </c>
      <c r="X147" s="228" t="n"/>
      <c r="Y147" s="390">
        <f>IF(OR(S147="STAR", W147="", X147=""), W147,
"總數：" &amp; W147 &amp; CHAR(10) &amp;
"已維修：" &amp; X147 &amp; CHAR(10) &amp;
"未更換：" &amp; (W147 - X147))</f>
        <v/>
      </c>
      <c r="Z147" s="221">
        <f>IF(VLOOKUP(A147,'0919門市清單主檔'!B:AC,28,FALSE)=0,"",VLOOKUP(A147,'0919門市清單主檔'!B:AC,28,FALSE))</f>
        <v/>
      </c>
      <c r="AA147" s="326"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0">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4">
        <f t="array" ref="J148">IFERROR(INDEX(IM!$AM$2:$AM$9333, MATCH(1, (IM!$F$2:$F$9333=A148) * (ISNUMBER(SEARCH($C$1, IM!$AC$2:$AC$9333))), 0)), "")</f>
        <v/>
      </c>
      <c r="K148" s="316">
        <f t="array" ref="K148">SUMPRODUCT((IM!$F$2:$F$9181=A148)*(IM!$AD$2:$AD$9181="O")*(ISNUMBER(SEARCH($C$1, IM!$AC$2:$AC$9181))))</f>
        <v/>
      </c>
      <c r="L148" s="330">
        <f t="array" ref="L148">IF(K148&gt;0,IFERROR(HYPERLINK("#'IM'!AC"&amp;MATCH(1,(IM!$F$1:$F$6881=A148)*(ISNUMBER(SEARCH($C$1,IM!$AC$1:$AC$6881))),0),"檢核"),"未登錄"),"")</f>
        <v/>
      </c>
      <c r="M148" s="394">
        <f>Q148&amp;IF(AND(S148&lt;&gt;"",AND(Q148&lt;&gt;"")),$P$2,"")&amp;S148&amp;IF(U148&lt;&gt;"",$P$2,"")&amp;U148</f>
        <v/>
      </c>
      <c r="N148" s="283">
        <f t="array" ref="N148">IF(AND(
    SUMPRODUCT(
        (IM!$F$2:$F$1181=A148) *
        ISNUMBER(SEARCH("*HUB*", IM!$AC$2:$AC$1181)) *
        (IM!$X$2:$X$1181&gt;=$A$1) *
        (IM!$X$2:$X$1181&lt;=$B$1)*(Z148="HUB")
    ) &gt; 0
), "HUB", "")</f>
        <v/>
      </c>
      <c r="O148" s="397">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4">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5">
        <f t="array" ref="V148">IFERROR(INDEX(IM!$AM$2:$AM$9382, MATCH(1, (IM!$F$2:$F$9382=A148) * (ISNUMBER(SEARCH($F$1, IM!$AC$2:$AC$9382))), 0)), "")</f>
        <v/>
      </c>
      <c r="W148" s="228">
        <f>IF(AND(AA148&lt;&gt;"", AB148&lt;&gt;""), 2, IF(OR(AA148&lt;&gt;"", AB148&lt;&gt;""), 1, 0))</f>
        <v/>
      </c>
      <c r="X148" s="228" t="n"/>
      <c r="Y148" s="390">
        <f>IF(OR(S148="STAR", W148="", X148=""), W148,
"總數：" &amp; W148 &amp; CHAR(10) &amp;
"已維修：" &amp; X148 &amp; CHAR(10) &amp;
"未更換：" &amp; (W148 - X148))</f>
        <v/>
      </c>
      <c r="Z148" s="221">
        <f>IF(VLOOKUP(A148,'0919門市清單主檔'!B:AC,28,FALSE)=0,"",VLOOKUP(A148,'0919門市清單主檔'!B:AC,28,FALSE))</f>
        <v/>
      </c>
      <c r="AA148" s="326"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0">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4">
        <f t="array" ref="J149">IFERROR(INDEX(IM!$AM$2:$AM$9333, MATCH(1, (IM!$F$2:$F$9333=A149) * (ISNUMBER(SEARCH($C$1, IM!$AC$2:$AC$9333))), 0)), "")</f>
        <v/>
      </c>
      <c r="K149" s="316">
        <f t="array" ref="K149">SUMPRODUCT((IM!$F$2:$F$9181=A149)*(IM!$AD$2:$AD$9181="O")*(ISNUMBER(SEARCH($C$1, IM!$AC$2:$AC$9181))))</f>
        <v/>
      </c>
      <c r="L149" s="330">
        <f t="array" ref="L149">IF(K149&gt;0,IFERROR(HYPERLINK("#'IM'!AC"&amp;MATCH(1,(IM!$F$1:$F$6881=A149)*(ISNUMBER(SEARCH($C$1,IM!$AC$1:$AC$6881))),0),"檢核"),"未登錄"),"")</f>
        <v/>
      </c>
      <c r="M149" s="394">
        <f>Q149&amp;IF(AND(S149&lt;&gt;"",AND(Q149&lt;&gt;"")),$P$2,"")&amp;S149&amp;IF(U149&lt;&gt;"",$P$2,"")&amp;U149</f>
        <v/>
      </c>
      <c r="N149" s="283">
        <f t="array" ref="N149">IF(AND(
    SUMPRODUCT(
        (IM!$F$2:$F$1181=A149) *
        ISNUMBER(SEARCH("*HUB*", IM!$AC$2:$AC$1181)) *
        (IM!$X$2:$X$1181&gt;=$A$1) *
        (IM!$X$2:$X$1181&lt;=$B$1)*(Z149="HUB")
    ) &gt; 0
), "HUB", "")</f>
        <v/>
      </c>
      <c r="O149" s="397">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4">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5">
        <f t="array" ref="V149">IFERROR(INDEX(IM!$AM$2:$AM$9382, MATCH(1, (IM!$F$2:$F$9382=A149) * (ISNUMBER(SEARCH($F$1, IM!$AC$2:$AC$9382))), 0)), "")</f>
        <v/>
      </c>
      <c r="W149" s="228">
        <f>IF(AND(AA149&lt;&gt;"", AB149&lt;&gt;""), 2, IF(OR(AA149&lt;&gt;"", AB149&lt;&gt;""), 1, 0))</f>
        <v/>
      </c>
      <c r="X149" s="228" t="n"/>
      <c r="Y149" s="390">
        <f>IF(OR(S149="STAR", W149="", X149=""), W149,
"總數：" &amp; W149 &amp; CHAR(10) &amp;
"已維修：" &amp; X149 &amp; CHAR(10) &amp;
"未更換：" &amp; (W149 - X149))</f>
        <v/>
      </c>
      <c r="Z149" s="221">
        <f>IF(VLOOKUP(A149,'0919門市清單主檔'!B:AC,28,FALSE)=0,"",VLOOKUP(A149,'0919門市清單主檔'!B:AC,28,FALSE))</f>
        <v/>
      </c>
      <c r="AA149" s="326"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0">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4">
        <f t="array" ref="J150">IFERROR(INDEX(IM!$AM$2:$AM$9333, MATCH(1, (IM!$F$2:$F$9333=A150) * (ISNUMBER(SEARCH($C$1, IM!$AC$2:$AC$9333))), 0)), "")</f>
        <v/>
      </c>
      <c r="K150" s="316">
        <f t="array" ref="K150">SUMPRODUCT((IM!$F$2:$F$9181=A150)*(IM!$AD$2:$AD$9181="O")*(ISNUMBER(SEARCH($C$1, IM!$AC$2:$AC$9181))))</f>
        <v/>
      </c>
      <c r="L150" s="330">
        <f t="array" ref="L150">IF(K150&gt;0,IFERROR(HYPERLINK("#'IM'!AC"&amp;MATCH(1,(IM!$F$1:$F$6881=A150)*(ISNUMBER(SEARCH($C$1,IM!$AC$1:$AC$6881))),0),"檢核"),"未登錄"),"")</f>
        <v/>
      </c>
      <c r="M150" s="394">
        <f>Q150&amp;IF(AND(S150&lt;&gt;"",AND(Q150&lt;&gt;"")),$P$2,"")&amp;S150&amp;IF(U150&lt;&gt;"",$P$2,"")&amp;U150</f>
        <v/>
      </c>
      <c r="N150" s="283">
        <f t="array" ref="N150">IF(AND(
    SUMPRODUCT(
        (IM!$F$2:$F$1181=A150) *
        ISNUMBER(SEARCH("*HUB*", IM!$AC$2:$AC$1181)) *
        (IM!$X$2:$X$1181&gt;=$A$1) *
        (IM!$X$2:$X$1181&lt;=$B$1)*(Z150="HUB")
    ) &gt; 0
), "HUB", "")</f>
        <v/>
      </c>
      <c r="O150" s="397">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4">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5">
        <f t="array" ref="V150">IFERROR(INDEX(IM!$AM$2:$AM$9382, MATCH(1, (IM!$F$2:$F$9382=A150) * (ISNUMBER(SEARCH($F$1, IM!$AC$2:$AC$9382))), 0)), "")</f>
        <v/>
      </c>
      <c r="W150" s="228">
        <f>IF(AND(AA150&lt;&gt;"", AB150&lt;&gt;""), 2, IF(OR(AA150&lt;&gt;"", AB150&lt;&gt;""), 1, 0))</f>
        <v/>
      </c>
      <c r="X150" s="228" t="n"/>
      <c r="Y150" s="390">
        <f>IF(OR(S150="STAR", W150="", X150=""), W150,
"總數：" &amp; W150 &amp; CHAR(10) &amp;
"已維修：" &amp; X150 &amp; CHAR(10) &amp;
"未更換：" &amp; (W150 - X150))</f>
        <v/>
      </c>
      <c r="Z150" s="221">
        <f>IF(VLOOKUP(A150,'0919門市清單主檔'!B:AC,28,FALSE)=0,"",VLOOKUP(A150,'0919門市清單主檔'!B:AC,28,FALSE))</f>
        <v/>
      </c>
      <c r="AA150" s="326"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0">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4">
        <f t="array" ref="J151">IFERROR(INDEX(IM!$AM$2:$AM$9333, MATCH(1, (IM!$F$2:$F$9333=A151) * (ISNUMBER(SEARCH($C$1, IM!$AC$2:$AC$9333))), 0)), "")</f>
        <v/>
      </c>
      <c r="K151" s="316">
        <f t="array" ref="K151">SUMPRODUCT((IM!$F$2:$F$9181=A151)*(IM!$AD$2:$AD$9181="O")*(ISNUMBER(SEARCH($C$1, IM!$AC$2:$AC$9181))))</f>
        <v/>
      </c>
      <c r="L151" s="330">
        <f t="array" ref="L151">IF(K151&gt;0,IFERROR(HYPERLINK("#'IM'!AC"&amp;MATCH(1,(IM!$F$1:$F$6881=A151)*(ISNUMBER(SEARCH($C$1,IM!$AC$1:$AC$6881))),0),"檢核"),"未登錄"),"")</f>
        <v/>
      </c>
      <c r="M151" s="394">
        <f>Q151&amp;IF(AND(S151&lt;&gt;"",AND(Q151&lt;&gt;"")),$P$2,"")&amp;S151&amp;IF(U151&lt;&gt;"",$P$2,"")&amp;U151</f>
        <v/>
      </c>
      <c r="N151" s="283">
        <f t="array" ref="N151">IF(AND(
    SUMPRODUCT(
        (IM!$F$2:$F$1181=A151) *
        ISNUMBER(SEARCH("*HUB*", IM!$AC$2:$AC$1181)) *
        (IM!$X$2:$X$1181&gt;=$A$1) *
        (IM!$X$2:$X$1181&lt;=$B$1)*(Z151="HUB")
    ) &gt; 0
), "HUB", "")</f>
        <v/>
      </c>
      <c r="O151" s="397">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4">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5">
        <f t="array" ref="V151">IFERROR(INDEX(IM!$AM$2:$AM$9382, MATCH(1, (IM!$F$2:$F$9382=A151) * (ISNUMBER(SEARCH($F$1, IM!$AC$2:$AC$9382))), 0)), "")</f>
        <v/>
      </c>
      <c r="W151" s="228">
        <f>IF(AND(AA151&lt;&gt;"", AB151&lt;&gt;""), 2, IF(OR(AA151&lt;&gt;"", AB151&lt;&gt;""), 1, 0))</f>
        <v/>
      </c>
      <c r="X151" s="228" t="n"/>
      <c r="Y151" s="390">
        <f>IF(OR(S151="STAR", W151="", X151=""), W151,
"總數：" &amp; W151 &amp; CHAR(10) &amp;
"已維修：" &amp; X151 &amp; CHAR(10) &amp;
"未更換：" &amp; (W151 - X151))</f>
        <v/>
      </c>
      <c r="Z151" s="221">
        <f>IF(VLOOKUP(A151,'0919門市清單主檔'!B:AC,28,FALSE)=0,"",VLOOKUP(A151,'0919門市清單主檔'!B:AC,28,FALSE))</f>
        <v/>
      </c>
      <c r="AA151" s="326"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0">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4">
        <f t="array" ref="J152">IFERROR(INDEX(IM!$AM$2:$AM$9333, MATCH(1, (IM!$F$2:$F$9333=A152) * (ISNUMBER(SEARCH($C$1, IM!$AC$2:$AC$9333))), 0)), "")</f>
        <v/>
      </c>
      <c r="K152" s="316">
        <f t="array" ref="K152">SUMPRODUCT((IM!$F$2:$F$9181=A152)*(IM!$AD$2:$AD$9181="O")*(ISNUMBER(SEARCH($C$1, IM!$AC$2:$AC$9181))))</f>
        <v/>
      </c>
      <c r="L152" s="330">
        <f t="array" ref="L152">IF(K152&gt;0,IFERROR(HYPERLINK("#'IM'!AC"&amp;MATCH(1,(IM!$F$1:$F$6881=A152)*(ISNUMBER(SEARCH($C$1,IM!$AC$1:$AC$6881))),0),"檢核"),"未登錄"),"")</f>
        <v/>
      </c>
      <c r="M152" s="394">
        <f>Q152&amp;IF(AND(S152&lt;&gt;"",AND(Q152&lt;&gt;"")),$P$2,"")&amp;S152&amp;IF(U152&lt;&gt;"",$P$2,"")&amp;U152</f>
        <v/>
      </c>
      <c r="N152" s="283">
        <f t="array" ref="N152">IF(AND(
    SUMPRODUCT(
        (IM!$F$2:$F$1181=A152) *
        ISNUMBER(SEARCH("*HUB*", IM!$AC$2:$AC$1181)) *
        (IM!$X$2:$X$1181&gt;=$A$1) *
        (IM!$X$2:$X$1181&lt;=$B$1)*(Z152="HUB")
    ) &gt; 0
), "HUB", "")</f>
        <v/>
      </c>
      <c r="O152" s="397">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4">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5">
        <f t="array" ref="V152">IFERROR(INDEX(IM!$AM$2:$AM$9382, MATCH(1, (IM!$F$2:$F$9382=A152) * (ISNUMBER(SEARCH($F$1, IM!$AC$2:$AC$9382))), 0)), "")</f>
        <v/>
      </c>
      <c r="W152" s="228">
        <f>IF(AND(AA152&lt;&gt;"", AB152&lt;&gt;""), 2, IF(OR(AA152&lt;&gt;"", AB152&lt;&gt;""), 1, 0))</f>
        <v/>
      </c>
      <c r="X152" s="228" t="n"/>
      <c r="Y152" s="390">
        <f>IF(OR(S152="STAR", W152="", X152=""), W152,
"總數：" &amp; W152 &amp; CHAR(10) &amp;
"已維修：" &amp; X152 &amp; CHAR(10) &amp;
"未更換：" &amp; (W152 - X152))</f>
        <v/>
      </c>
      <c r="Z152" s="221">
        <f>IF(VLOOKUP(A152,'0919門市清單主檔'!B:AC,28,FALSE)=0,"",VLOOKUP(A152,'0919門市清單主檔'!B:AC,28,FALSE))</f>
        <v/>
      </c>
      <c r="AA152" s="326"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0">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4">
        <f t="array" ref="J153">IFERROR(INDEX(IM!$AM$2:$AM$9333, MATCH(1, (IM!$F$2:$F$9333=A153) * (ISNUMBER(SEARCH($C$1, IM!$AC$2:$AC$9333))), 0)), "")</f>
        <v/>
      </c>
      <c r="K153" s="316">
        <f t="array" ref="K153">SUMPRODUCT((IM!$F$2:$F$9181=A153)*(IM!$AD$2:$AD$9181="O")*(ISNUMBER(SEARCH($C$1, IM!$AC$2:$AC$9181))))</f>
        <v/>
      </c>
      <c r="L153" s="330">
        <f t="array" ref="L153">IF(K153&gt;0,IFERROR(HYPERLINK("#'IM'!AC"&amp;MATCH(1,(IM!$F$1:$F$6881=A153)*(ISNUMBER(SEARCH($C$1,IM!$AC$1:$AC$6881))),0),"檢核"),"未登錄"),"")</f>
        <v/>
      </c>
      <c r="M153" s="394">
        <f>Q153&amp;IF(AND(S153&lt;&gt;"",AND(Q153&lt;&gt;"")),$P$2,"")&amp;S153&amp;IF(U153&lt;&gt;"",$P$2,"")&amp;U153</f>
        <v/>
      </c>
      <c r="N153" s="283">
        <f t="array" ref="N153">IF(AND(
    SUMPRODUCT(
        (IM!$F$2:$F$1181=A153) *
        ISNUMBER(SEARCH("*HUB*", IM!$AC$2:$AC$1181)) *
        (IM!$X$2:$X$1181&gt;=$A$1) *
        (IM!$X$2:$X$1181&lt;=$B$1)*(Z153="HUB")
    ) &gt; 0
), "HUB", "")</f>
        <v/>
      </c>
      <c r="O153" s="397">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4">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5">
        <f t="array" ref="V153">IFERROR(INDEX(IM!$AM$2:$AM$9382, MATCH(1, (IM!$F$2:$F$9382=A153) * (ISNUMBER(SEARCH($F$1, IM!$AC$2:$AC$9382))), 0)), "")</f>
        <v/>
      </c>
      <c r="W153" s="228">
        <f>IF(AND(AA153&lt;&gt;"", AB153&lt;&gt;""), 2, IF(OR(AA153&lt;&gt;"", AB153&lt;&gt;""), 1, 0))</f>
        <v/>
      </c>
      <c r="X153" s="228" t="n"/>
      <c r="Y153" s="390">
        <f>IF(OR(S153="STAR", W153="", X153=""), W153,
"總數：" &amp; W153 &amp; CHAR(10) &amp;
"已維修：" &amp; X153 &amp; CHAR(10) &amp;
"未更換：" &amp; (W153 - X153))</f>
        <v/>
      </c>
      <c r="Z153" s="221">
        <f>IF(VLOOKUP(A153,'0919門市清單主檔'!B:AC,28,FALSE)=0,"",VLOOKUP(A153,'0919門市清單主檔'!B:AC,28,FALSE))</f>
        <v/>
      </c>
      <c r="AA153" s="326"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0">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4">
        <f t="array" ref="J154">IFERROR(INDEX(IM!$AM$2:$AM$9333, MATCH(1, (IM!$F$2:$F$9333=A154) * (ISNUMBER(SEARCH($C$1, IM!$AC$2:$AC$9333))), 0)), "")</f>
        <v/>
      </c>
      <c r="K154" s="316">
        <f t="array" ref="K154">SUMPRODUCT((IM!$F$2:$F$9181=A154)*(IM!$AD$2:$AD$9181="O")*(ISNUMBER(SEARCH($C$1, IM!$AC$2:$AC$9181))))</f>
        <v/>
      </c>
      <c r="L154" s="330">
        <f t="array" ref="L154">IF(K154&gt;0,IFERROR(HYPERLINK("#'IM'!AC"&amp;MATCH(1,(IM!$F$1:$F$6881=A154)*(ISNUMBER(SEARCH($C$1,IM!$AC$1:$AC$6881))),0),"檢核"),"未登錄"),"")</f>
        <v/>
      </c>
      <c r="M154" s="394">
        <f>Q154&amp;IF(AND(S154&lt;&gt;"",AND(Q154&lt;&gt;"")),$P$2,"")&amp;S154&amp;IF(U154&lt;&gt;"",$P$2,"")&amp;U154</f>
        <v/>
      </c>
      <c r="N154" s="283">
        <f t="array" ref="N154">IF(AND(
    SUMPRODUCT(
        (IM!$F$2:$F$1181=A154) *
        ISNUMBER(SEARCH("*HUB*", IM!$AC$2:$AC$1181)) *
        (IM!$X$2:$X$1181&gt;=$A$1) *
        (IM!$X$2:$X$1181&lt;=$B$1)*(Z154="HUB")
    ) &gt; 0
), "HUB", "")</f>
        <v/>
      </c>
      <c r="O154" s="397">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4">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5">
        <f t="array" ref="V154">IFERROR(INDEX(IM!$AM$2:$AM$9382, MATCH(1, (IM!$F$2:$F$9382=A154) * (ISNUMBER(SEARCH($F$1, IM!$AC$2:$AC$9382))), 0)), "")</f>
        <v/>
      </c>
      <c r="W154" s="228">
        <f>IF(AND(AA154&lt;&gt;"", AB154&lt;&gt;""), 2, IF(OR(AA154&lt;&gt;"", AB154&lt;&gt;""), 1, 0))</f>
        <v/>
      </c>
      <c r="X154" s="228" t="n"/>
      <c r="Y154" s="390">
        <f>IF(OR(S154="STAR", W154="", X154=""), W154,
"總數：" &amp; W154 &amp; CHAR(10) &amp;
"已維修：" &amp; X154 &amp; CHAR(10) &amp;
"未更換：" &amp; (W154 - X154))</f>
        <v/>
      </c>
      <c r="Z154" s="221">
        <f>IF(VLOOKUP(A154,'0919門市清單主檔'!B:AC,28,FALSE)=0,"",VLOOKUP(A154,'0919門市清單主檔'!B:AC,28,FALSE))</f>
        <v/>
      </c>
      <c r="AA154" s="326"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0">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4">
        <f t="array" ref="J155">IFERROR(INDEX(IM!$AM$2:$AM$9333, MATCH(1, (IM!$F$2:$F$9333=A155) * (ISNUMBER(SEARCH($C$1, IM!$AC$2:$AC$9333))), 0)), "")</f>
        <v/>
      </c>
      <c r="K155" s="316">
        <f t="array" ref="K155">SUMPRODUCT((IM!$F$2:$F$9181=A155)*(IM!$AD$2:$AD$9181="O")*(ISNUMBER(SEARCH($C$1, IM!$AC$2:$AC$9181))))</f>
        <v/>
      </c>
      <c r="L155" s="330">
        <f t="array" ref="L155">IF(K155&gt;0,IFERROR(HYPERLINK("#'IM'!AC"&amp;MATCH(1,(IM!$F$1:$F$6881=A155)*(ISNUMBER(SEARCH($C$1,IM!$AC$1:$AC$6881))),0),"檢核"),"未登錄"),"")</f>
        <v/>
      </c>
      <c r="M155" s="394">
        <f>Q155&amp;IF(AND(S155&lt;&gt;"",AND(Q155&lt;&gt;"")),$P$2,"")&amp;S155&amp;IF(U155&lt;&gt;"",$P$2,"")&amp;U155</f>
        <v/>
      </c>
      <c r="N155" s="283">
        <f t="array" ref="N155">IF(AND(
    SUMPRODUCT(
        (IM!$F$2:$F$1181=A155) *
        ISNUMBER(SEARCH("*HUB*", IM!$AC$2:$AC$1181)) *
        (IM!$X$2:$X$1181&gt;=$A$1) *
        (IM!$X$2:$X$1181&lt;=$B$1)*(Z155="HUB")
    ) &gt; 0
), "HUB", "")</f>
        <v/>
      </c>
      <c r="O155" s="397">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4">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5">
        <f t="array" ref="V155">IFERROR(INDEX(IM!$AM$2:$AM$9382, MATCH(1, (IM!$F$2:$F$9382=A155) * (ISNUMBER(SEARCH($F$1, IM!$AC$2:$AC$9382))), 0)), "")</f>
        <v/>
      </c>
      <c r="W155" s="228">
        <f>IF(AND(AA155&lt;&gt;"", AB155&lt;&gt;""), 2, IF(OR(AA155&lt;&gt;"", AB155&lt;&gt;""), 1, 0))</f>
        <v/>
      </c>
      <c r="X155" s="228" t="n"/>
      <c r="Y155" s="390">
        <f>IF(OR(S155="STAR", W155="", X155=""), W155,
"總數：" &amp; W155 &amp; CHAR(10) &amp;
"已維修：" &amp; X155 &amp; CHAR(10) &amp;
"未更換：" &amp; (W155 - X155))</f>
        <v/>
      </c>
      <c r="Z155" s="221">
        <f>IF(VLOOKUP(A155,'0919門市清單主檔'!B:AC,28,FALSE)=0,"",VLOOKUP(A155,'0919門市清單主檔'!B:AC,28,FALSE))</f>
        <v/>
      </c>
      <c r="AA155" s="326"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0">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4">
        <f t="array" ref="J156">IFERROR(INDEX(IM!$AM$2:$AM$9333, MATCH(1, (IM!$F$2:$F$9333=A156) * (ISNUMBER(SEARCH($C$1, IM!$AC$2:$AC$9333))), 0)), "")</f>
        <v/>
      </c>
      <c r="K156" s="316">
        <f t="array" ref="K156">SUMPRODUCT((IM!$F$2:$F$9181=A156)*(IM!$AD$2:$AD$9181="O")*(ISNUMBER(SEARCH($C$1, IM!$AC$2:$AC$9181))))</f>
        <v/>
      </c>
      <c r="L156" s="330">
        <f t="array" ref="L156">IF(K156&gt;0,IFERROR(HYPERLINK("#'IM'!AC"&amp;MATCH(1,(IM!$F$1:$F$6881=A156)*(ISNUMBER(SEARCH($C$1,IM!$AC$1:$AC$6881))),0),"檢核"),"未登錄"),"")</f>
        <v/>
      </c>
      <c r="M156" s="394">
        <f>Q156&amp;IF(AND(S156&lt;&gt;"",AND(Q156&lt;&gt;"")),$P$2,"")&amp;S156&amp;IF(U156&lt;&gt;"",$P$2,"")&amp;U156</f>
        <v/>
      </c>
      <c r="N156" s="283">
        <f t="array" ref="N156">IF(AND(
    SUMPRODUCT(
        (IM!$F$2:$F$1181=A156) *
        ISNUMBER(SEARCH("*HUB*", IM!$AC$2:$AC$1181)) *
        (IM!$X$2:$X$1181&gt;=$A$1) *
        (IM!$X$2:$X$1181&lt;=$B$1)*(Z156="HUB")
    ) &gt; 0
), "HUB", "")</f>
        <v/>
      </c>
      <c r="O156" s="397">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4">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5">
        <f t="array" ref="V156">IFERROR(INDEX(IM!$AM$2:$AM$9382, MATCH(1, (IM!$F$2:$F$9382=A156) * (ISNUMBER(SEARCH($F$1, IM!$AC$2:$AC$9382))), 0)), "")</f>
        <v/>
      </c>
      <c r="W156" s="228">
        <f>IF(AND(AA156&lt;&gt;"", AB156&lt;&gt;""), 2, IF(OR(AA156&lt;&gt;"", AB156&lt;&gt;""), 1, 0))</f>
        <v/>
      </c>
      <c r="X156" s="228" t="n"/>
      <c r="Y156" s="390">
        <f>IF(OR(S156="STAR", W156="", X156=""), W156,
"總數：" &amp; W156 &amp; CHAR(10) &amp;
"已維修：" &amp; X156 &amp; CHAR(10) &amp;
"未更換：" &amp; (W156 - X156))</f>
        <v/>
      </c>
      <c r="Z156" s="221">
        <f>IF(VLOOKUP(A156,'0919門市清單主檔'!B:AC,28,FALSE)=0,"",VLOOKUP(A156,'0919門市清單主檔'!B:AC,28,FALSE))</f>
        <v/>
      </c>
      <c r="AA156" s="326"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0">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4">
        <f t="array" ref="J157">IFERROR(INDEX(IM!$AM$2:$AM$9333, MATCH(1, (IM!$F$2:$F$9333=A157) * (ISNUMBER(SEARCH($C$1, IM!$AC$2:$AC$9333))), 0)), "")</f>
        <v/>
      </c>
      <c r="K157" s="316">
        <f t="array" ref="K157">SUMPRODUCT((IM!$F$2:$F$9181=A157)*(IM!$AD$2:$AD$9181="O")*(ISNUMBER(SEARCH($C$1, IM!$AC$2:$AC$9181))))</f>
        <v/>
      </c>
      <c r="L157" s="330">
        <f t="array" ref="L157">IF(K157&gt;0,IFERROR(HYPERLINK("#'IM'!AC"&amp;MATCH(1,(IM!$F$1:$F$6881=A157)*(ISNUMBER(SEARCH($C$1,IM!$AC$1:$AC$6881))),0),"檢核"),"未登錄"),"")</f>
        <v/>
      </c>
      <c r="M157" s="394">
        <f>Q157&amp;IF(AND(S157&lt;&gt;"",AND(Q157&lt;&gt;"")),$P$2,"")&amp;S157&amp;IF(U157&lt;&gt;"",$P$2,"")&amp;U157</f>
        <v/>
      </c>
      <c r="N157" s="283">
        <f t="array" ref="N157">IF(AND(
    SUMPRODUCT(
        (IM!$F$2:$F$1181=A157) *
        ISNUMBER(SEARCH("*HUB*", IM!$AC$2:$AC$1181)) *
        (IM!$X$2:$X$1181&gt;=$A$1) *
        (IM!$X$2:$X$1181&lt;=$B$1)*(Z157="HUB")
    ) &gt; 0
), "HUB", "")</f>
        <v/>
      </c>
      <c r="O157" s="397">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4">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5">
        <f t="array" ref="V157">IFERROR(INDEX(IM!$AM$2:$AM$9382, MATCH(1, (IM!$F$2:$F$9382=A157) * (ISNUMBER(SEARCH($F$1, IM!$AC$2:$AC$9382))), 0)), "")</f>
        <v/>
      </c>
      <c r="W157" s="228">
        <f>IF(AND(AA157&lt;&gt;"", AB157&lt;&gt;""), 2, IF(OR(AA157&lt;&gt;"", AB157&lt;&gt;""), 1, 0))</f>
        <v/>
      </c>
      <c r="X157" s="228" t="n"/>
      <c r="Y157" s="390">
        <f>IF(OR(S157="STAR", W157="", X157=""), W157,
"總數：" &amp; W157 &amp; CHAR(10) &amp;
"已維修：" &amp; X157 &amp; CHAR(10) &amp;
"未更換：" &amp; (W157 - X157))</f>
        <v/>
      </c>
      <c r="Z157" s="221">
        <f>IF(VLOOKUP(A157,'0919門市清單主檔'!B:AC,28,FALSE)=0,"",VLOOKUP(A157,'0919門市清單主檔'!B:AC,28,FALSE))</f>
        <v/>
      </c>
      <c r="AA157" s="326"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0">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4">
        <f t="array" ref="J158">IFERROR(INDEX(IM!$AM$2:$AM$9333, MATCH(1, (IM!$F$2:$F$9333=A158) * (ISNUMBER(SEARCH($C$1, IM!$AC$2:$AC$9333))), 0)), "")</f>
        <v/>
      </c>
      <c r="K158" s="316">
        <f t="array" ref="K158">SUMPRODUCT((IM!$F$2:$F$9181=A158)*(IM!$AD$2:$AD$9181="O")*(ISNUMBER(SEARCH($C$1, IM!$AC$2:$AC$9181))))</f>
        <v/>
      </c>
      <c r="L158" s="330">
        <f t="array" ref="L158">IF(K158&gt;0,IFERROR(HYPERLINK("#'IM'!AC"&amp;MATCH(1,(IM!$F$1:$F$6881=A158)*(ISNUMBER(SEARCH($C$1,IM!$AC$1:$AC$6881))),0),"檢核"),"未登錄"),"")</f>
        <v/>
      </c>
      <c r="M158" s="394">
        <f>Q158&amp;IF(AND(S158&lt;&gt;"",AND(Q158&lt;&gt;"")),$P$2,"")&amp;S158&amp;IF(U158&lt;&gt;"",$P$2,"")&amp;U158</f>
        <v/>
      </c>
      <c r="N158" s="283">
        <f t="array" ref="N158">IF(AND(
    SUMPRODUCT(
        (IM!$F$2:$F$1181=A158) *
        ISNUMBER(SEARCH("*HUB*", IM!$AC$2:$AC$1181)) *
        (IM!$X$2:$X$1181&gt;=$A$1) *
        (IM!$X$2:$X$1181&lt;=$B$1)*(Z158="HUB")
    ) &gt; 0
), "HUB", "")</f>
        <v/>
      </c>
      <c r="O158" s="397">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4">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5">
        <f t="array" ref="V158">IFERROR(INDEX(IM!$AM$2:$AM$9382, MATCH(1, (IM!$F$2:$F$9382=A158) * (ISNUMBER(SEARCH($F$1, IM!$AC$2:$AC$9382))), 0)), "")</f>
        <v/>
      </c>
      <c r="W158" s="228">
        <f>IF(AND(AA158&lt;&gt;"", AB158&lt;&gt;""), 2, IF(OR(AA158&lt;&gt;"", AB158&lt;&gt;""), 1, 0))</f>
        <v/>
      </c>
      <c r="X158" s="228" t="n"/>
      <c r="Y158" s="390">
        <f>IF(OR(S158="STAR", W158="", X158=""), W158,
"總數：" &amp; W158 &amp; CHAR(10) &amp;
"已維修：" &amp; X158 &amp; CHAR(10) &amp;
"未更換：" &amp; (W158 - X158))</f>
        <v/>
      </c>
      <c r="Z158" s="221">
        <f>IF(VLOOKUP(A158,'0919門市清單主檔'!B:AC,28,FALSE)=0,"",VLOOKUP(A158,'0919門市清單主檔'!B:AC,28,FALSE))</f>
        <v/>
      </c>
      <c r="AA158" s="326"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0">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4">
        <f t="array" ref="J159">IFERROR(INDEX(IM!$AM$2:$AM$9333, MATCH(1, (IM!$F$2:$F$9333=A159) * (ISNUMBER(SEARCH($C$1, IM!$AC$2:$AC$9333))), 0)), "")</f>
        <v/>
      </c>
      <c r="K159" s="316">
        <f t="array" ref="K159">SUMPRODUCT((IM!$F$2:$F$9181=A159)*(IM!$AD$2:$AD$9181="O")*(ISNUMBER(SEARCH($C$1, IM!$AC$2:$AC$9181))))</f>
        <v/>
      </c>
      <c r="L159" s="330">
        <f t="array" ref="L159">IF(K159&gt;0,IFERROR(HYPERLINK("#'IM'!AC"&amp;MATCH(1,(IM!$F$1:$F$6881=A159)*(ISNUMBER(SEARCH($C$1,IM!$AC$1:$AC$6881))),0),"檢核"),"未登錄"),"")</f>
        <v/>
      </c>
      <c r="M159" s="394">
        <f>Q159&amp;IF(AND(S159&lt;&gt;"",AND(Q159&lt;&gt;"")),$P$2,"")&amp;S159&amp;IF(U159&lt;&gt;"",$P$2,"")&amp;U159</f>
        <v/>
      </c>
      <c r="N159" s="283">
        <f t="array" ref="N159">IF(AND(
    SUMPRODUCT(
        (IM!$F$2:$F$1181=A159) *
        ISNUMBER(SEARCH("*HUB*", IM!$AC$2:$AC$1181)) *
        (IM!$X$2:$X$1181&gt;=$A$1) *
        (IM!$X$2:$X$1181&lt;=$B$1)*(Z159="HUB")
    ) &gt; 0
), "HUB", "")</f>
        <v/>
      </c>
      <c r="O159" s="397">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4">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5">
        <f t="array" ref="V159">IFERROR(INDEX(IM!$AM$2:$AM$9382, MATCH(1, (IM!$F$2:$F$9382=A159) * (ISNUMBER(SEARCH($F$1, IM!$AC$2:$AC$9382))), 0)), "")</f>
        <v/>
      </c>
      <c r="W159" s="228">
        <f>IF(AND(AA159&lt;&gt;"", AB159&lt;&gt;""), 2, IF(OR(AA159&lt;&gt;"", AB159&lt;&gt;""), 1, 0))</f>
        <v/>
      </c>
      <c r="X159" s="228" t="n"/>
      <c r="Y159" s="390">
        <f>IF(OR(S159="STAR", W159="", X159=""), W159,
"總數：" &amp; W159 &amp; CHAR(10) &amp;
"已維修：" &amp; X159 &amp; CHAR(10) &amp;
"未更換：" &amp; (W159 - X159))</f>
        <v/>
      </c>
      <c r="Z159" s="221">
        <f>IF(VLOOKUP(A159,'0919門市清單主檔'!B:AC,28,FALSE)=0,"",VLOOKUP(A159,'0919門市清單主檔'!B:AC,28,FALSE))</f>
        <v/>
      </c>
      <c r="AA159" s="326"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0">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4">
        <f t="array" ref="J160">IFERROR(INDEX(IM!$AM$2:$AM$9333, MATCH(1, (IM!$F$2:$F$9333=A160) * (ISNUMBER(SEARCH($C$1, IM!$AC$2:$AC$9333))), 0)), "")</f>
        <v/>
      </c>
      <c r="K160" s="316">
        <f t="array" ref="K160">SUMPRODUCT((IM!$F$2:$F$9181=A160)*(IM!$AD$2:$AD$9181="O")*(ISNUMBER(SEARCH($C$1, IM!$AC$2:$AC$9181))))</f>
        <v/>
      </c>
      <c r="L160" s="330">
        <f t="array" ref="L160">IF(K160&gt;0,IFERROR(HYPERLINK("#'IM'!AC"&amp;MATCH(1,(IM!$F$1:$F$6881=A160)*(ISNUMBER(SEARCH($C$1,IM!$AC$1:$AC$6881))),0),"檢核"),"未登錄"),"")</f>
        <v/>
      </c>
      <c r="M160" s="394">
        <f>Q160&amp;IF(AND(S160&lt;&gt;"",AND(Q160&lt;&gt;"")),$P$2,"")&amp;S160&amp;IF(U160&lt;&gt;"",$P$2,"")&amp;U160</f>
        <v/>
      </c>
      <c r="N160" s="283">
        <f t="array" ref="N160">IF(AND(
    SUMPRODUCT(
        (IM!$F$2:$F$1181=A160) *
        ISNUMBER(SEARCH("*HUB*", IM!$AC$2:$AC$1181)) *
        (IM!$X$2:$X$1181&gt;=$A$1) *
        (IM!$X$2:$X$1181&lt;=$B$1)*(Z160="HUB")
    ) &gt; 0
), "HUB", "")</f>
        <v/>
      </c>
      <c r="O160" s="397">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4">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5">
        <f t="array" ref="V160">IFERROR(INDEX(IM!$AM$2:$AM$9382, MATCH(1, (IM!$F$2:$F$9382=A160) * (ISNUMBER(SEARCH($F$1, IM!$AC$2:$AC$9382))), 0)), "")</f>
        <v/>
      </c>
      <c r="W160" s="228">
        <f>IF(AND(AA160&lt;&gt;"", AB160&lt;&gt;""), 2, IF(OR(AA160&lt;&gt;"", AB160&lt;&gt;""), 1, 0))</f>
        <v/>
      </c>
      <c r="X160" s="228" t="n"/>
      <c r="Y160" s="390">
        <f>IF(OR(S160="STAR", W160="", X160=""), W160,
"總數：" &amp; W160 &amp; CHAR(10) &amp;
"已維修：" &amp; X160 &amp; CHAR(10) &amp;
"未更換：" &amp; (W160 - X160))</f>
        <v/>
      </c>
      <c r="Z160" s="221">
        <f>IF(VLOOKUP(A160,'0919門市清單主檔'!B:AC,28,FALSE)=0,"",VLOOKUP(A160,'0919門市清單主檔'!B:AC,28,FALSE))</f>
        <v/>
      </c>
      <c r="AA160" s="326"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0">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4">
        <f t="array" ref="J161">IFERROR(INDEX(IM!$AM$2:$AM$9333, MATCH(1, (IM!$F$2:$F$9333=A161) * (ISNUMBER(SEARCH($C$1, IM!$AC$2:$AC$9333))), 0)), "")</f>
        <v/>
      </c>
      <c r="K161" s="316">
        <f t="array" ref="K161">SUMPRODUCT((IM!$F$2:$F$9181=A161)*(IM!$AD$2:$AD$9181="O")*(ISNUMBER(SEARCH($C$1, IM!$AC$2:$AC$9181))))</f>
        <v/>
      </c>
      <c r="L161" s="330">
        <f t="array" ref="L161">IF(K161&gt;0,IFERROR(HYPERLINK("#'IM'!AC"&amp;MATCH(1,(IM!$F$1:$F$6881=A161)*(ISNUMBER(SEARCH($C$1,IM!$AC$1:$AC$6881))),0),"檢核"),"未登錄"),"")</f>
        <v/>
      </c>
      <c r="M161" s="394">
        <f>Q161&amp;IF(AND(S161&lt;&gt;"",AND(Q161&lt;&gt;"")),$P$2,"")&amp;S161&amp;IF(U161&lt;&gt;"",$P$2,"")&amp;U161</f>
        <v/>
      </c>
      <c r="N161" s="283">
        <f t="array" ref="N161">IF(AND(
    SUMPRODUCT(
        (IM!$F$2:$F$1181=A161) *
        ISNUMBER(SEARCH("*HUB*", IM!$AC$2:$AC$1181)) *
        (IM!$X$2:$X$1181&gt;=$A$1) *
        (IM!$X$2:$X$1181&lt;=$B$1)*(Z161="HUB")
    ) &gt; 0
), "HUB", "")</f>
        <v/>
      </c>
      <c r="O161" s="397">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4">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5">
        <f t="array" ref="V161">IFERROR(INDEX(IM!$AM$2:$AM$9382, MATCH(1, (IM!$F$2:$F$9382=A161) * (ISNUMBER(SEARCH($F$1, IM!$AC$2:$AC$9382))), 0)), "")</f>
        <v/>
      </c>
      <c r="W161" s="228">
        <f>IF(AND(AA161&lt;&gt;"", AB161&lt;&gt;""), 2, IF(OR(AA161&lt;&gt;"", AB161&lt;&gt;""), 1, 0))</f>
        <v/>
      </c>
      <c r="X161" s="228" t="n"/>
      <c r="Y161" s="390">
        <f>IF(OR(S161="STAR", W161="", X161=""), W161,
"總數：" &amp; W161 &amp; CHAR(10) &amp;
"已維修：" &amp; X161 &amp; CHAR(10) &amp;
"未更換：" &amp; (W161 - X161))</f>
        <v/>
      </c>
      <c r="Z161" s="221">
        <f>IF(VLOOKUP(A161,'0919門市清單主檔'!B:AC,28,FALSE)=0,"",VLOOKUP(A161,'0919門市清單主檔'!B:AC,28,FALSE))</f>
        <v/>
      </c>
      <c r="AA161" s="326"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0">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4">
        <f t="array" ref="J162">IFERROR(INDEX(IM!$AM$2:$AM$9333, MATCH(1, (IM!$F$2:$F$9333=A162) * (ISNUMBER(SEARCH($C$1, IM!$AC$2:$AC$9333))), 0)), "")</f>
        <v/>
      </c>
      <c r="K162" s="316">
        <f t="array" ref="K162">SUMPRODUCT((IM!$F$2:$F$9181=A162)*(IM!$AD$2:$AD$9181="O")*(ISNUMBER(SEARCH($C$1, IM!$AC$2:$AC$9181))))</f>
        <v/>
      </c>
      <c r="L162" s="330">
        <f t="array" ref="L162">IF(K162&gt;0,IFERROR(HYPERLINK("#'IM'!AC"&amp;MATCH(1,(IM!$F$1:$F$6881=A162)*(ISNUMBER(SEARCH($C$1,IM!$AC$1:$AC$6881))),0),"檢核"),"未登錄"),"")</f>
        <v/>
      </c>
      <c r="M162" s="394">
        <f>Q162&amp;IF(AND(S162&lt;&gt;"",AND(Q162&lt;&gt;"")),$P$2,"")&amp;S162&amp;IF(U162&lt;&gt;"",$P$2,"")&amp;U162</f>
        <v/>
      </c>
      <c r="N162" s="283">
        <f t="array" ref="N162">IF(AND(
    SUMPRODUCT(
        (IM!$F$2:$F$1181=A162) *
        ISNUMBER(SEARCH("*HUB*", IM!$AC$2:$AC$1181)) *
        (IM!$X$2:$X$1181&gt;=$A$1) *
        (IM!$X$2:$X$1181&lt;=$B$1)*(Z162="HUB")
    ) &gt; 0
), "HUB", "")</f>
        <v/>
      </c>
      <c r="O162" s="397">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4">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5">
        <f t="array" ref="V162">IFERROR(INDEX(IM!$AM$2:$AM$9382, MATCH(1, (IM!$F$2:$F$9382=A162) * (ISNUMBER(SEARCH($F$1, IM!$AC$2:$AC$9382))), 0)), "")</f>
        <v/>
      </c>
      <c r="W162" s="228">
        <f>IF(AND(AA162&lt;&gt;"", AB162&lt;&gt;""), 2, IF(OR(AA162&lt;&gt;"", AB162&lt;&gt;""), 1, 0))</f>
        <v/>
      </c>
      <c r="X162" s="228" t="n"/>
      <c r="Y162" s="390">
        <f>IF(OR(S162="STAR", W162="", X162=""), W162,
"總數：" &amp; W162 &amp; CHAR(10) &amp;
"已維修：" &amp; X162 &amp; CHAR(10) &amp;
"未更換：" &amp; (W162 - X162))</f>
        <v/>
      </c>
      <c r="Z162" s="221">
        <f>IF(VLOOKUP(A162,'0919門市清單主檔'!B:AC,28,FALSE)=0,"",VLOOKUP(A162,'0919門市清單主檔'!B:AC,28,FALSE))</f>
        <v/>
      </c>
      <c r="AA162" s="326"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0">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4">
        <f t="array" ref="J163">IFERROR(INDEX(IM!$AM$2:$AM$9333, MATCH(1, (IM!$F$2:$F$9333=A163) * (ISNUMBER(SEARCH($C$1, IM!$AC$2:$AC$9333))), 0)), "")</f>
        <v/>
      </c>
      <c r="K163" s="316">
        <f t="array" ref="K163">SUMPRODUCT((IM!$F$2:$F$9181=A163)*(IM!$AD$2:$AD$9181="O")*(ISNUMBER(SEARCH($C$1, IM!$AC$2:$AC$9181))))</f>
        <v/>
      </c>
      <c r="L163" s="330">
        <f t="array" ref="L163">IF(K163&gt;0,IFERROR(HYPERLINK("#'IM'!AC"&amp;MATCH(1,(IM!$F$1:$F$6881=A163)*(ISNUMBER(SEARCH($C$1,IM!$AC$1:$AC$6881))),0),"檢核"),"未登錄"),"")</f>
        <v/>
      </c>
      <c r="M163" s="394">
        <f>Q163&amp;IF(AND(S163&lt;&gt;"",AND(Q163&lt;&gt;"")),$P$2,"")&amp;S163&amp;IF(U163&lt;&gt;"",$P$2,"")&amp;U163</f>
        <v/>
      </c>
      <c r="N163" s="283">
        <f t="array" ref="N163">IF(AND(
    SUMPRODUCT(
        (IM!$F$2:$F$1181=A163) *
        ISNUMBER(SEARCH("*HUB*", IM!$AC$2:$AC$1181)) *
        (IM!$X$2:$X$1181&gt;=$A$1) *
        (IM!$X$2:$X$1181&lt;=$B$1)*(Z163="HUB")
    ) &gt; 0
), "HUB", "")</f>
        <v/>
      </c>
      <c r="O163" s="397">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4">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5">
        <f t="array" ref="V163">IFERROR(INDEX(IM!$AM$2:$AM$9382, MATCH(1, (IM!$F$2:$F$9382=A163) * (ISNUMBER(SEARCH($F$1, IM!$AC$2:$AC$9382))), 0)), "")</f>
        <v/>
      </c>
      <c r="W163" s="228">
        <f>IF(AND(AA163&lt;&gt;"", AB163&lt;&gt;""), 2, IF(OR(AA163&lt;&gt;"", AB163&lt;&gt;""), 1, 0))</f>
        <v/>
      </c>
      <c r="X163" s="228" t="n"/>
      <c r="Y163" s="390">
        <f>IF(OR(S163="STAR", W163="", X163=""), W163,
"總數：" &amp; W163 &amp; CHAR(10) &amp;
"已維修：" &amp; X163 &amp; CHAR(10) &amp;
"未更換：" &amp; (W163 - X163))</f>
        <v/>
      </c>
      <c r="Z163" s="221">
        <f>IF(VLOOKUP(A163,'0919門市清單主檔'!B:AC,28,FALSE)=0,"",VLOOKUP(A163,'0919門市清單主檔'!B:AC,28,FALSE))</f>
        <v/>
      </c>
      <c r="AA163" s="326"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0">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4">
        <f t="array" ref="J164">IFERROR(INDEX(IM!$AM$2:$AM$9333, MATCH(1, (IM!$F$2:$F$9333=A164) * (ISNUMBER(SEARCH($C$1, IM!$AC$2:$AC$9333))), 0)), "")</f>
        <v/>
      </c>
      <c r="K164" s="316">
        <f t="array" ref="K164">SUMPRODUCT((IM!$F$2:$F$9181=A164)*(IM!$AD$2:$AD$9181="O")*(ISNUMBER(SEARCH($C$1, IM!$AC$2:$AC$9181))))</f>
        <v/>
      </c>
      <c r="L164" s="330">
        <f t="array" ref="L164">IF(K164&gt;0,IFERROR(HYPERLINK("#'IM'!AC"&amp;MATCH(1,(IM!$F$1:$F$6881=A164)*(ISNUMBER(SEARCH($C$1,IM!$AC$1:$AC$6881))),0),"檢核"),"未登錄"),"")</f>
        <v/>
      </c>
      <c r="M164" s="394">
        <f>Q164&amp;IF(AND(S164&lt;&gt;"",AND(Q164&lt;&gt;"")),$P$2,"")&amp;S164&amp;IF(U164&lt;&gt;"",$P$2,"")&amp;U164</f>
        <v/>
      </c>
      <c r="N164" s="283">
        <f t="array" ref="N164">IF(AND(
    SUMPRODUCT(
        (IM!$F$2:$F$1181=A164) *
        ISNUMBER(SEARCH("*HUB*", IM!$AC$2:$AC$1181)) *
        (IM!$X$2:$X$1181&gt;=$A$1) *
        (IM!$X$2:$X$1181&lt;=$B$1)*(Z164="HUB")
    ) &gt; 0
), "HUB", "")</f>
        <v/>
      </c>
      <c r="O164" s="397">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4">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5">
        <f t="array" ref="V164">IFERROR(INDEX(IM!$AM$2:$AM$9382, MATCH(1, (IM!$F$2:$F$9382=A164) * (ISNUMBER(SEARCH($F$1, IM!$AC$2:$AC$9382))), 0)), "")</f>
        <v/>
      </c>
      <c r="W164" s="228">
        <f>IF(AND(AA164&lt;&gt;"", AB164&lt;&gt;""), 2, IF(OR(AA164&lt;&gt;"", AB164&lt;&gt;""), 1, 0))</f>
        <v/>
      </c>
      <c r="X164" s="228" t="n"/>
      <c r="Y164" s="390">
        <f>IF(OR(S164="STAR", W164="", X164=""), W164,
"總數：" &amp; W164 &amp; CHAR(10) &amp;
"已維修：" &amp; X164 &amp; CHAR(10) &amp;
"未更換：" &amp; (W164 - X164))</f>
        <v/>
      </c>
      <c r="Z164" s="221">
        <f>IF(VLOOKUP(A164,'0919門市清單主檔'!B:AC,28,FALSE)=0,"",VLOOKUP(A164,'0919門市清單主檔'!B:AC,28,FALSE))</f>
        <v/>
      </c>
      <c r="AA164" s="326"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0">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4">
        <f t="array" ref="J165">IFERROR(INDEX(IM!$AM$2:$AM$9333, MATCH(1, (IM!$F$2:$F$9333=A165) * (ISNUMBER(SEARCH($C$1, IM!$AC$2:$AC$9333))), 0)), "")</f>
        <v/>
      </c>
      <c r="K165" s="316">
        <f t="array" ref="K165">SUMPRODUCT((IM!$F$2:$F$9181=A165)*(IM!$AD$2:$AD$9181="O")*(ISNUMBER(SEARCH($C$1, IM!$AC$2:$AC$9181))))</f>
        <v/>
      </c>
      <c r="L165" s="330">
        <f t="array" ref="L165">IF(K165&gt;0,IFERROR(HYPERLINK("#'IM'!AC"&amp;MATCH(1,(IM!$F$1:$F$6881=A165)*(ISNUMBER(SEARCH($C$1,IM!$AC$1:$AC$6881))),0),"檢核"),"未登錄"),"")</f>
        <v/>
      </c>
      <c r="M165" s="394">
        <f>Q165&amp;IF(AND(S165&lt;&gt;"",AND(Q165&lt;&gt;"")),$P$2,"")&amp;S165&amp;IF(U165&lt;&gt;"",$P$2,"")&amp;U165</f>
        <v/>
      </c>
      <c r="N165" s="283">
        <f t="array" ref="N165">IF(AND(
    SUMPRODUCT(
        (IM!$F$2:$F$1181=A165) *
        ISNUMBER(SEARCH("*HUB*", IM!$AC$2:$AC$1181)) *
        (IM!$X$2:$X$1181&gt;=$A$1) *
        (IM!$X$2:$X$1181&lt;=$B$1)*(Z165="HUB")
    ) &gt; 0
), "HUB", "")</f>
        <v/>
      </c>
      <c r="O165" s="397">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4">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5">
        <f t="array" ref="V165">IFERROR(INDEX(IM!$AM$2:$AM$9382, MATCH(1, (IM!$F$2:$F$9382=A165) * (ISNUMBER(SEARCH($F$1, IM!$AC$2:$AC$9382))), 0)), "")</f>
        <v/>
      </c>
      <c r="W165" s="228">
        <f>IF(AND(AA165&lt;&gt;"", AB165&lt;&gt;""), 2, IF(OR(AA165&lt;&gt;"", AB165&lt;&gt;""), 1, 0))</f>
        <v/>
      </c>
      <c r="X165" s="228" t="n"/>
      <c r="Y165" s="390">
        <f>IF(OR(S165="STAR", W165="", X165=""), W165,
"總數：" &amp; W165 &amp; CHAR(10) &amp;
"已維修：" &amp; X165 &amp; CHAR(10) &amp;
"未更換：" &amp; (W165 - X165))</f>
        <v/>
      </c>
      <c r="Z165" s="221">
        <f>IF(VLOOKUP(A165,'0919門市清單主檔'!B:AC,28,FALSE)=0,"",VLOOKUP(A165,'0919門市清單主檔'!B:AC,28,FALSE))</f>
        <v/>
      </c>
      <c r="AA165" s="326"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0">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4">
        <f t="array" ref="J166">IFERROR(INDEX(IM!$AM$2:$AM$9333, MATCH(1, (IM!$F$2:$F$9333=A166) * (ISNUMBER(SEARCH($C$1, IM!$AC$2:$AC$9333))), 0)), "")</f>
        <v/>
      </c>
      <c r="K166" s="316">
        <f t="array" ref="K166">SUMPRODUCT((IM!$F$2:$F$9181=A166)*(IM!$AD$2:$AD$9181="O")*(ISNUMBER(SEARCH($C$1, IM!$AC$2:$AC$9181))))</f>
        <v/>
      </c>
      <c r="L166" s="330">
        <f t="array" ref="L166">IF(K166&gt;0,IFERROR(HYPERLINK("#'IM'!AC"&amp;MATCH(1,(IM!$F$1:$F$6881=A166)*(ISNUMBER(SEARCH($C$1,IM!$AC$1:$AC$6881))),0),"檢核"),"未登錄"),"")</f>
        <v/>
      </c>
      <c r="M166" s="394">
        <f>Q166&amp;IF(AND(S166&lt;&gt;"",AND(Q166&lt;&gt;"")),$P$2,"")&amp;S166&amp;IF(U166&lt;&gt;"",$P$2,"")&amp;U166</f>
        <v/>
      </c>
      <c r="N166" s="283">
        <f t="array" ref="N166">IF(AND(
    SUMPRODUCT(
        (IM!$F$2:$F$1181=A166) *
        ISNUMBER(SEARCH("*HUB*", IM!$AC$2:$AC$1181)) *
        (IM!$X$2:$X$1181&gt;=$A$1) *
        (IM!$X$2:$X$1181&lt;=$B$1)*(Z166="HUB")
    ) &gt; 0
), "HUB", "")</f>
        <v/>
      </c>
      <c r="O166" s="397">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4">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5">
        <f t="array" ref="V166">IFERROR(INDEX(IM!$AM$2:$AM$9382, MATCH(1, (IM!$F$2:$F$9382=A166) * (ISNUMBER(SEARCH($F$1, IM!$AC$2:$AC$9382))), 0)), "")</f>
        <v/>
      </c>
      <c r="W166" s="228">
        <f>IF(AND(AA166&lt;&gt;"", AB166&lt;&gt;""), 2, IF(OR(AA166&lt;&gt;"", AB166&lt;&gt;""), 1, 0))</f>
        <v/>
      </c>
      <c r="X166" s="228" t="n"/>
      <c r="Y166" s="390">
        <f>IF(OR(S166="STAR", W166="", X166=""), W166,
"總數：" &amp; W166 &amp; CHAR(10) &amp;
"已維修：" &amp; X166 &amp; CHAR(10) &amp;
"未更換：" &amp; (W166 - X166))</f>
        <v/>
      </c>
      <c r="Z166" s="221">
        <f>IF(VLOOKUP(A166,'0919門市清單主檔'!B:AC,28,FALSE)=0,"",VLOOKUP(A166,'0919門市清單主檔'!B:AC,28,FALSE))</f>
        <v/>
      </c>
      <c r="AA166" s="326"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0">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4">
        <f t="array" ref="J167">IFERROR(INDEX(IM!$AM$2:$AM$9333, MATCH(1, (IM!$F$2:$F$9333=A167) * (ISNUMBER(SEARCH($C$1, IM!$AC$2:$AC$9333))), 0)), "")</f>
        <v/>
      </c>
      <c r="K167" s="316">
        <f t="array" ref="K167">SUMPRODUCT((IM!$F$2:$F$9181=A167)*(IM!$AD$2:$AD$9181="O")*(ISNUMBER(SEARCH($C$1, IM!$AC$2:$AC$9181))))</f>
        <v/>
      </c>
      <c r="L167" s="330">
        <f t="array" ref="L167">IF(K167&gt;0,IFERROR(HYPERLINK("#'IM'!AC"&amp;MATCH(1,(IM!$F$1:$F$6881=A167)*(ISNUMBER(SEARCH($C$1,IM!$AC$1:$AC$6881))),0),"檢核"),"未登錄"),"")</f>
        <v/>
      </c>
      <c r="M167" s="394">
        <f>Q167&amp;IF(AND(S167&lt;&gt;"",AND(Q167&lt;&gt;"")),$P$2,"")&amp;S167&amp;IF(U167&lt;&gt;"",$P$2,"")&amp;U167</f>
        <v/>
      </c>
      <c r="N167" s="283">
        <f t="array" ref="N167">IF(AND(
    SUMPRODUCT(
        (IM!$F$2:$F$1181=A167) *
        ISNUMBER(SEARCH("*HUB*", IM!$AC$2:$AC$1181)) *
        (IM!$X$2:$X$1181&gt;=$A$1) *
        (IM!$X$2:$X$1181&lt;=$B$1)*(Z167="HUB")
    ) &gt; 0
), "HUB", "")</f>
        <v/>
      </c>
      <c r="O167" s="397">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4">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5">
        <f t="array" ref="V167">IFERROR(INDEX(IM!$AM$2:$AM$9382, MATCH(1, (IM!$F$2:$F$9382=A167) * (ISNUMBER(SEARCH($F$1, IM!$AC$2:$AC$9382))), 0)), "")</f>
        <v/>
      </c>
      <c r="W167" s="228">
        <f>IF(AND(AA167&lt;&gt;"", AB167&lt;&gt;""), 2, IF(OR(AA167&lt;&gt;"", AB167&lt;&gt;""), 1, 0))</f>
        <v/>
      </c>
      <c r="X167" s="228" t="n"/>
      <c r="Y167" s="390">
        <f>IF(OR(S167="STAR", W167="", X167=""), W167,
"總數：" &amp; W167 &amp; CHAR(10) &amp;
"已維修：" &amp; X167 &amp; CHAR(10) &amp;
"未更換：" &amp; (W167 - X167))</f>
        <v/>
      </c>
      <c r="Z167" s="221">
        <f>IF(VLOOKUP(A167,'0919門市清單主檔'!B:AC,28,FALSE)=0,"",VLOOKUP(A167,'0919門市清單主檔'!B:AC,28,FALSE))</f>
        <v/>
      </c>
      <c r="AA167" s="326"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0">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4">
        <f t="array" ref="J168">IFERROR(INDEX(IM!$AM$2:$AM$9333, MATCH(1, (IM!$F$2:$F$9333=A168) * (ISNUMBER(SEARCH($C$1, IM!$AC$2:$AC$9333))), 0)), "")</f>
        <v/>
      </c>
      <c r="K168" s="316">
        <f t="array" ref="K168">SUMPRODUCT((IM!$F$2:$F$9181=A168)*(IM!$AD$2:$AD$9181="O")*(ISNUMBER(SEARCH($C$1, IM!$AC$2:$AC$9181))))</f>
        <v/>
      </c>
      <c r="L168" s="330">
        <f t="array" ref="L168">IF(K168&gt;0,IFERROR(HYPERLINK("#'IM'!AC"&amp;MATCH(1,(IM!$F$1:$F$6881=A168)*(ISNUMBER(SEARCH($C$1,IM!$AC$1:$AC$6881))),0),"檢核"),"未登錄"),"")</f>
        <v/>
      </c>
      <c r="M168" s="394">
        <f>Q168&amp;IF(AND(S168&lt;&gt;"",AND(Q168&lt;&gt;"")),$P$2,"")&amp;S168&amp;IF(U168&lt;&gt;"",$P$2,"")&amp;U168</f>
        <v/>
      </c>
      <c r="N168" s="283">
        <f t="array" ref="N168">IF(AND(
    SUMPRODUCT(
        (IM!$F$2:$F$1181=A168) *
        ISNUMBER(SEARCH("*HUB*", IM!$AC$2:$AC$1181)) *
        (IM!$X$2:$X$1181&gt;=$A$1) *
        (IM!$X$2:$X$1181&lt;=$B$1)*(Z168="HUB")
    ) &gt; 0
), "HUB", "")</f>
        <v/>
      </c>
      <c r="O168" s="397">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4">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5">
        <f t="array" ref="V168">IFERROR(INDEX(IM!$AM$2:$AM$9382, MATCH(1, (IM!$F$2:$F$9382=A168) * (ISNUMBER(SEARCH($F$1, IM!$AC$2:$AC$9382))), 0)), "")</f>
        <v/>
      </c>
      <c r="W168" s="228">
        <f>IF(AND(AA168&lt;&gt;"", AB168&lt;&gt;""), 2, IF(OR(AA168&lt;&gt;"", AB168&lt;&gt;""), 1, 0))</f>
        <v/>
      </c>
      <c r="X168" s="228" t="n"/>
      <c r="Y168" s="390">
        <f>IF(OR(S168="STAR", W168="", X168=""), W168,
"總數：" &amp; W168 &amp; CHAR(10) &amp;
"已維修：" &amp; X168 &amp; CHAR(10) &amp;
"未更換：" &amp; (W168 - X168))</f>
        <v/>
      </c>
      <c r="Z168" s="221">
        <f>IF(VLOOKUP(A168,'0919門市清單主檔'!B:AC,28,FALSE)=0,"",VLOOKUP(A168,'0919門市清單主檔'!B:AC,28,FALSE))</f>
        <v/>
      </c>
      <c r="AA168" s="326"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0">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4">
        <f t="array" ref="J169">IFERROR(INDEX(IM!$AM$2:$AM$9333, MATCH(1, (IM!$F$2:$F$9333=A169) * (ISNUMBER(SEARCH($C$1, IM!$AC$2:$AC$9333))), 0)), "")</f>
        <v/>
      </c>
      <c r="K169" s="316">
        <f t="array" ref="K169">SUMPRODUCT((IM!$F$2:$F$9181=A169)*(IM!$AD$2:$AD$9181="O")*(ISNUMBER(SEARCH($C$1, IM!$AC$2:$AC$9181))))</f>
        <v/>
      </c>
      <c r="L169" s="330">
        <f t="array" ref="L169">IF(K169&gt;0,IFERROR(HYPERLINK("#'IM'!AC"&amp;MATCH(1,(IM!$F$1:$F$6881=A169)*(ISNUMBER(SEARCH($C$1,IM!$AC$1:$AC$6881))),0),"檢核"),"未登錄"),"")</f>
        <v/>
      </c>
      <c r="M169" s="394">
        <f>Q169&amp;IF(AND(S169&lt;&gt;"",AND(Q169&lt;&gt;"")),$P$2,"")&amp;S169&amp;IF(U169&lt;&gt;"",$P$2,"")&amp;U169</f>
        <v/>
      </c>
      <c r="N169" s="283">
        <f t="array" ref="N169">IF(AND(
    SUMPRODUCT(
        (IM!$F$2:$F$1181=A169) *
        ISNUMBER(SEARCH("*HUB*", IM!$AC$2:$AC$1181)) *
        (IM!$X$2:$X$1181&gt;=$A$1) *
        (IM!$X$2:$X$1181&lt;=$B$1)*(Z169="HUB")
    ) &gt; 0
), "HUB", "")</f>
        <v/>
      </c>
      <c r="O169" s="397">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4">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5">
        <f t="array" ref="V169">IFERROR(INDEX(IM!$AM$2:$AM$9382, MATCH(1, (IM!$F$2:$F$9382=A169) * (ISNUMBER(SEARCH($F$1, IM!$AC$2:$AC$9382))), 0)), "")</f>
        <v/>
      </c>
      <c r="W169" s="228">
        <f>IF(AND(AA169&lt;&gt;"", AB169&lt;&gt;""), 2, IF(OR(AA169&lt;&gt;"", AB169&lt;&gt;""), 1, 0))</f>
        <v/>
      </c>
      <c r="X169" s="228" t="n"/>
      <c r="Y169" s="390">
        <f>IF(OR(S169="STAR", W169="", X169=""), W169,
"總數：" &amp; W169 &amp; CHAR(10) &amp;
"已維修：" &amp; X169 &amp; CHAR(10) &amp;
"未更換：" &amp; (W169 - X169))</f>
        <v/>
      </c>
      <c r="Z169" s="221">
        <f>IF(VLOOKUP(A169,'0919門市清單主檔'!B:AC,28,FALSE)=0,"",VLOOKUP(A169,'0919門市清單主檔'!B:AC,28,FALSE))</f>
        <v/>
      </c>
      <c r="AA169" s="326"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0">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4">
        <f t="array" ref="J170">IFERROR(INDEX(IM!$AM$2:$AM$9333, MATCH(1, (IM!$F$2:$F$9333=A170) * (ISNUMBER(SEARCH($C$1, IM!$AC$2:$AC$9333))), 0)), "")</f>
        <v/>
      </c>
      <c r="K170" s="316">
        <f t="array" ref="K170">SUMPRODUCT((IM!$F$2:$F$9181=A170)*(IM!$AD$2:$AD$9181="O")*(ISNUMBER(SEARCH($C$1, IM!$AC$2:$AC$9181))))</f>
        <v/>
      </c>
      <c r="L170" s="330">
        <f t="array" ref="L170">IF(K170&gt;0,IFERROR(HYPERLINK("#'IM'!AC"&amp;MATCH(1,(IM!$F$1:$F$6881=A170)*(ISNUMBER(SEARCH($C$1,IM!$AC$1:$AC$6881))),0),"檢核"),"未登錄"),"")</f>
        <v/>
      </c>
      <c r="M170" s="394">
        <f>Q170&amp;IF(AND(S170&lt;&gt;"",AND(Q170&lt;&gt;"")),$P$2,"")&amp;S170&amp;IF(U170&lt;&gt;"",$P$2,"")&amp;U170</f>
        <v/>
      </c>
      <c r="N170" s="283">
        <f t="array" ref="N170">IF(AND(
    SUMPRODUCT(
        (IM!$F$2:$F$1181=A170) *
        ISNUMBER(SEARCH("*HUB*", IM!$AC$2:$AC$1181)) *
        (IM!$X$2:$X$1181&gt;=$A$1) *
        (IM!$X$2:$X$1181&lt;=$B$1)*(Z170="HUB")
    ) &gt; 0
), "HUB", "")</f>
        <v/>
      </c>
      <c r="O170" s="397">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4">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5">
        <f t="array" ref="V170">IFERROR(INDEX(IM!$AM$2:$AM$9382, MATCH(1, (IM!$F$2:$F$9382=A170) * (ISNUMBER(SEARCH($F$1, IM!$AC$2:$AC$9382))), 0)), "")</f>
        <v/>
      </c>
      <c r="W170" s="228">
        <f>IF(AND(AA170&lt;&gt;"", AB170&lt;&gt;""), 2, IF(OR(AA170&lt;&gt;"", AB170&lt;&gt;""), 1, 0))</f>
        <v/>
      </c>
      <c r="X170" s="228" t="n"/>
      <c r="Y170" s="390">
        <f>IF(OR(S170="STAR", W170="", X170=""), W170,
"總數：" &amp; W170 &amp; CHAR(10) &amp;
"已維修：" &amp; X170 &amp; CHAR(10) &amp;
"未更換：" &amp; (W170 - X170))</f>
        <v/>
      </c>
      <c r="Z170" s="221">
        <f>IF(VLOOKUP(A170,'0919門市清單主檔'!B:AC,28,FALSE)=0,"",VLOOKUP(A170,'0919門市清單主檔'!B:AC,28,FALSE))</f>
        <v/>
      </c>
      <c r="AA170" s="326"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0">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4">
        <f t="array" ref="J171">IFERROR(INDEX(IM!$AM$2:$AM$9333, MATCH(1, (IM!$F$2:$F$9333=A171) * (ISNUMBER(SEARCH($C$1, IM!$AC$2:$AC$9333))), 0)), "")</f>
        <v/>
      </c>
      <c r="K171" s="316">
        <f t="array" ref="K171">SUMPRODUCT((IM!$F$2:$F$9181=A171)*(IM!$AD$2:$AD$9181="O")*(ISNUMBER(SEARCH($C$1, IM!$AC$2:$AC$9181))))</f>
        <v/>
      </c>
      <c r="L171" s="330">
        <f t="array" ref="L171">IF(K171&gt;0,IFERROR(HYPERLINK("#'IM'!AC"&amp;MATCH(1,(IM!$F$1:$F$6881=A171)*(ISNUMBER(SEARCH($C$1,IM!$AC$1:$AC$6881))),0),"檢核"),"未登錄"),"")</f>
        <v/>
      </c>
      <c r="M171" s="394">
        <f>Q171&amp;IF(AND(S171&lt;&gt;"",AND(Q171&lt;&gt;"")),$P$2,"")&amp;S171&amp;IF(U171&lt;&gt;"",$P$2,"")&amp;U171</f>
        <v/>
      </c>
      <c r="N171" s="283">
        <f t="array" ref="N171">IF(AND(
    SUMPRODUCT(
        (IM!$F$2:$F$1181=A171) *
        ISNUMBER(SEARCH("*HUB*", IM!$AC$2:$AC$1181)) *
        (IM!$X$2:$X$1181&gt;=$A$1) *
        (IM!$X$2:$X$1181&lt;=$B$1)*(Z171="HUB")
    ) &gt; 0
), "HUB", "")</f>
        <v/>
      </c>
      <c r="O171" s="397">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4">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5">
        <f t="array" ref="V171">IFERROR(INDEX(IM!$AM$2:$AM$9382, MATCH(1, (IM!$F$2:$F$9382=A171) * (ISNUMBER(SEARCH($F$1, IM!$AC$2:$AC$9382))), 0)), "")</f>
        <v/>
      </c>
      <c r="W171" s="228">
        <f>IF(AND(AA171&lt;&gt;"", AB171&lt;&gt;""), 2, IF(OR(AA171&lt;&gt;"", AB171&lt;&gt;""), 1, 0))</f>
        <v/>
      </c>
      <c r="X171" s="228" t="n"/>
      <c r="Y171" s="390">
        <f>IF(OR(S171="STAR", W171="", X171=""), W171,
"總數：" &amp; W171 &amp; CHAR(10) &amp;
"已維修：" &amp; X171 &amp; CHAR(10) &amp;
"未更換：" &amp; (W171 - X171))</f>
        <v/>
      </c>
      <c r="Z171" s="221">
        <f>IF(VLOOKUP(A171,'0919門市清單主檔'!B:AC,28,FALSE)=0,"",VLOOKUP(A171,'0919門市清單主檔'!B:AC,28,FALSE))</f>
        <v/>
      </c>
      <c r="AA171" s="326"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0">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4">
        <f t="array" ref="J172">IFERROR(INDEX(IM!$AM$2:$AM$9333, MATCH(1, (IM!$F$2:$F$9333=A172) * (ISNUMBER(SEARCH($C$1, IM!$AC$2:$AC$9333))), 0)), "")</f>
        <v/>
      </c>
      <c r="K172" s="316">
        <f t="array" ref="K172">SUMPRODUCT((IM!$F$2:$F$9181=A172)*(IM!$AD$2:$AD$9181="O")*(ISNUMBER(SEARCH($C$1, IM!$AC$2:$AC$9181))))</f>
        <v/>
      </c>
      <c r="L172" s="330">
        <f t="array" ref="L172">IF(K172&gt;0,IFERROR(HYPERLINK("#'IM'!AC"&amp;MATCH(1,(IM!$F$1:$F$6881=A172)*(ISNUMBER(SEARCH($C$1,IM!$AC$1:$AC$6881))),0),"檢核"),"未登錄"),"")</f>
        <v/>
      </c>
      <c r="M172" s="394">
        <f>Q172&amp;IF(AND(S172&lt;&gt;"",AND(Q172&lt;&gt;"")),$P$2,"")&amp;S172&amp;IF(U172&lt;&gt;"",$P$2,"")&amp;U172</f>
        <v/>
      </c>
      <c r="N172" s="283">
        <f t="array" ref="N172">IF(AND(
    SUMPRODUCT(
        (IM!$F$2:$F$1181=A172) *
        ISNUMBER(SEARCH("*HUB*", IM!$AC$2:$AC$1181)) *
        (IM!$X$2:$X$1181&gt;=$A$1) *
        (IM!$X$2:$X$1181&lt;=$B$1)*(Z172="HUB")
    ) &gt; 0
), "HUB", "")</f>
        <v/>
      </c>
      <c r="O172" s="397">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4">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5">
        <f t="array" ref="V172">IFERROR(INDEX(IM!$AM$2:$AM$9382, MATCH(1, (IM!$F$2:$F$9382=A172) * (ISNUMBER(SEARCH($F$1, IM!$AC$2:$AC$9382))), 0)), "")</f>
        <v/>
      </c>
      <c r="W172" s="228">
        <f>IF(AND(AA172&lt;&gt;"", AB172&lt;&gt;""), 2, IF(OR(AA172&lt;&gt;"", AB172&lt;&gt;""), 1, 0))</f>
        <v/>
      </c>
      <c r="X172" s="228" t="n"/>
      <c r="Y172" s="390">
        <f>IF(OR(S172="STAR", W172="", X172=""), W172,
"總數：" &amp; W172 &amp; CHAR(10) &amp;
"已維修：" &amp; X172 &amp; CHAR(10) &amp;
"未更換：" &amp; (W172 - X172))</f>
        <v/>
      </c>
      <c r="Z172" s="221">
        <f>IF(VLOOKUP(A172,'0919門市清單主檔'!B:AC,28,FALSE)=0,"",VLOOKUP(A172,'0919門市清單主檔'!B:AC,28,FALSE))</f>
        <v/>
      </c>
      <c r="AA172" s="326"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0">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4">
        <f t="array" ref="J173">IFERROR(INDEX(IM!$AM$2:$AM$9333, MATCH(1, (IM!$F$2:$F$9333=A173) * (ISNUMBER(SEARCH($C$1, IM!$AC$2:$AC$9333))), 0)), "")</f>
        <v/>
      </c>
      <c r="K173" s="316">
        <f t="array" ref="K173">SUMPRODUCT((IM!$F$2:$F$9181=A173)*(IM!$AD$2:$AD$9181="O")*(ISNUMBER(SEARCH($C$1, IM!$AC$2:$AC$9181))))</f>
        <v/>
      </c>
      <c r="L173" s="330">
        <f t="array" ref="L173">IF(K173&gt;0,IFERROR(HYPERLINK("#'IM'!AC"&amp;MATCH(1,(IM!$F$1:$F$6881=A173)*(ISNUMBER(SEARCH($C$1,IM!$AC$1:$AC$6881))),0),"檢核"),"未登錄"),"")</f>
        <v/>
      </c>
      <c r="M173" s="394">
        <f>Q173&amp;IF(AND(S173&lt;&gt;"",AND(Q173&lt;&gt;"")),$P$2,"")&amp;S173&amp;IF(U173&lt;&gt;"",$P$2,"")&amp;U173</f>
        <v/>
      </c>
      <c r="N173" s="283">
        <f t="array" ref="N173">IF(AND(
    SUMPRODUCT(
        (IM!$F$2:$F$1181=A173) *
        ISNUMBER(SEARCH("*HUB*", IM!$AC$2:$AC$1181)) *
        (IM!$X$2:$X$1181&gt;=$A$1) *
        (IM!$X$2:$X$1181&lt;=$B$1)*(Z173="HUB")
    ) &gt; 0
), "HUB", "")</f>
        <v/>
      </c>
      <c r="O173" s="397">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4">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5">
        <f t="array" ref="V173">IFERROR(INDEX(IM!$AM$2:$AM$9382, MATCH(1, (IM!$F$2:$F$9382=A173) * (ISNUMBER(SEARCH($F$1, IM!$AC$2:$AC$9382))), 0)), "")</f>
        <v/>
      </c>
      <c r="W173" s="228">
        <f>IF(AND(AA173&lt;&gt;"", AB173&lt;&gt;""), 2, IF(OR(AA173&lt;&gt;"", AB173&lt;&gt;""), 1, 0))</f>
        <v/>
      </c>
      <c r="X173" s="228" t="n"/>
      <c r="Y173" s="390">
        <f>IF(OR(S173="STAR", W173="", X173=""), W173,
"總數：" &amp; W173 &amp; CHAR(10) &amp;
"已維修：" &amp; X173 &amp; CHAR(10) &amp;
"未更換：" &amp; (W173 - X173))</f>
        <v/>
      </c>
      <c r="Z173" s="221">
        <f>IF(VLOOKUP(A173,'0919門市清單主檔'!B:AC,28,FALSE)=0,"",VLOOKUP(A173,'0919門市清單主檔'!B:AC,28,FALSE))</f>
        <v/>
      </c>
      <c r="AA173" s="326" t="n"/>
      <c r="AB173" s="167" t="n"/>
      <c r="AC173" s="167" t="n"/>
    </row>
    <row r="174" ht="21.6" customHeight="1" s="105">
      <c r="A174" s="128" t="n">
        <v>3921</v>
      </c>
      <c r="B174" s="129">
        <f>VLOOKUP(A174,'0919門市清單主檔'!B:C,2,FALSE)</f>
        <v/>
      </c>
      <c r="C174" s="130">
        <f>VLOOKUP($A174,'0919門市清單主檔'!B:V,20,FALSE)</f>
        <v/>
      </c>
      <c r="D174" s="131">
        <f>VLOOKUP($A174,'0919門市清單主檔'!B:V,21,FALSE)</f>
        <v/>
      </c>
      <c r="E174" s="280">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4">
        <f t="array" ref="J174">IFERROR(INDEX(IM!$AM$2:$AM$9333, MATCH(1, (IM!$F$2:$F$9333=A174) * (ISNUMBER(SEARCH($C$1, IM!$AC$2:$AC$9333))), 0)), "")</f>
        <v/>
      </c>
      <c r="K174" s="316">
        <f t="array" ref="K174">SUMPRODUCT((IM!$F$2:$F$9181=A174)*(IM!$AD$2:$AD$9181="O")*(ISNUMBER(SEARCH($C$1, IM!$AC$2:$AC$9181))))</f>
        <v/>
      </c>
      <c r="L174" s="330">
        <f t="array" ref="L174">IF(K174&gt;0,IFERROR(HYPERLINK("#'IM'!AC"&amp;MATCH(1,(IM!$F$1:$F$6881=A174)*(ISNUMBER(SEARCH($C$1,IM!$AC$1:$AC$6881))),0),"檢核"),"未登錄"),"")</f>
        <v/>
      </c>
      <c r="M174" s="394">
        <f>Q174&amp;IF(AND(S174&lt;&gt;"",AND(Q174&lt;&gt;"")),$P$2,"")&amp;S174&amp;IF(U174&lt;&gt;"",$P$2,"")&amp;U174</f>
        <v/>
      </c>
      <c r="N174" s="283">
        <f t="array" ref="N174">IF(AND(
    SUMPRODUCT(
        (IM!$F$2:$F$1181=A174) *
        ISNUMBER(SEARCH("*HUB*", IM!$AC$2:$AC$1181)) *
        (IM!$X$2:$X$1181&gt;=$A$1) *
        (IM!$X$2:$X$1181&lt;=$B$1)*(Z174="HUB")
    ) &gt; 0
), "HUB", "")</f>
        <v/>
      </c>
      <c r="O174" s="397">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4">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5">
        <f t="array" ref="V174">IFERROR(INDEX(IM!$AM$2:$AM$9382, MATCH(1, (IM!$F$2:$F$9382=A174) * (ISNUMBER(SEARCH($F$1, IM!$AC$2:$AC$9382))), 0)), "")</f>
        <v/>
      </c>
      <c r="W174" s="228">
        <f>IF(AND(AA174&lt;&gt;"", AB174&lt;&gt;""), 2, IF(OR(AA174&lt;&gt;"", AB174&lt;&gt;""), 1, 0))</f>
        <v/>
      </c>
      <c r="X174" s="228" t="n"/>
      <c r="Y174" s="390">
        <f>IF(OR(S174="STAR", W174="", X174=""), W174,
"總數：" &amp; W174 &amp; CHAR(10) &amp;
"已維修：" &amp; X174 &amp; CHAR(10) &amp;
"未更換：" &amp; (W174 - X174))</f>
        <v/>
      </c>
      <c r="Z174" s="221">
        <f>IF(VLOOKUP(A174,'0919門市清單主檔'!B:AC,28,FALSE)=0,"",VLOOKUP(A174,'0919門市清單主檔'!B:AC,28,FALSE))</f>
        <v/>
      </c>
      <c r="AA174" s="326" t="n"/>
      <c r="AB174" s="167" t="n"/>
      <c r="AC174" s="167" t="inlineStr">
        <is>
          <t>STAR</t>
        </is>
      </c>
    </row>
    <row r="175" ht="21.6" customHeight="1" s="105">
      <c r="A175" s="128" t="inlineStr">
        <is>
          <t>L517</t>
        </is>
      </c>
      <c r="B175" s="129">
        <f>VLOOKUP(A175,'0919門市清單主檔'!B:C,2,FALSE)</f>
        <v/>
      </c>
      <c r="C175" s="130">
        <f>VLOOKUP($A175,'0919門市清單主檔'!B:V,20,FALSE)</f>
        <v/>
      </c>
      <c r="D175" s="131">
        <f>VLOOKUP($A175,'0919門市清單主檔'!B:V,21,FALSE)</f>
        <v/>
      </c>
      <c r="E175" s="280">
        <f>VLOOKUP(D175,門市狀態!G:H,2,FALSE)</f>
        <v/>
      </c>
      <c r="F175" s="132">
        <f>IFERROR(IF(VLOOKUP(A175,門市狀態!A:D,4,FALSE)=0,"",VLOOKUP(A175,門市狀態!A:D,4,FALSE)),"")</f>
        <v/>
      </c>
      <c r="G175" s="133" t="inlineStr">
        <is>
          <t>萊到店 WebPOS</t>
        </is>
      </c>
      <c r="H175" s="134">
        <f>IF(I175&gt;0,(TEXT(I175,"yyyymmdd")&amp;$T$2&amp;A175&amp;$T$2&amp;B175&amp;$Q$2),"")</f>
        <v/>
      </c>
      <c r="I175" s="136">
        <f t="array" ref="I175">IF(AND(SUMPRODUCT((IM!$F$2:$F$1181=A175)*(ISNUMBER(SEARCH($C$1, IM!$AC$2:$AC$1181))))&gt;0), $C$1, "")</f>
        <v/>
      </c>
      <c r="J175" s="314">
        <f t="array" ref="J175">IFERROR(INDEX(IM!$AM$2:$AM$9333, MATCH(1, (IM!$F$2:$F$9333=A175) * (ISNUMBER(SEARCH($C$1, IM!$AC$2:$AC$9333))), 0)), "")</f>
        <v/>
      </c>
      <c r="K175" s="316">
        <f t="array" ref="K175">SUMPRODUCT((IM!$F$2:$F$9181=A175)*(IM!$AD$2:$AD$9181="O")*(ISNUMBER(SEARCH($C$1, IM!$AC$2:$AC$9181))))</f>
        <v/>
      </c>
      <c r="L175" s="330">
        <f t="array" ref="L175">IF(K175&gt;0,IFERROR(HYPERLINK("#'IM'!AC"&amp;MATCH(1,(IM!$F$1:$F$6881=A175)*(ISNUMBER(SEARCH($C$1,IM!$AC$1:$AC$6881))),0),"檢核"),"未登錄"),"")</f>
        <v/>
      </c>
      <c r="M175" s="394">
        <f>Q175&amp;IF(AND(S175&lt;&gt;"",AND(Q175&lt;&gt;"")),$P$2,"")&amp;S175&amp;IF(U175&lt;&gt;"",$P$2,"")&amp;U175</f>
        <v/>
      </c>
      <c r="N175" s="283">
        <f t="array" ref="N175">IF(AND(
    SUMPRODUCT(
        (IM!$F$2:$F$1181=A175) *
        ISNUMBER(SEARCH("*HUB*", IM!$AC$2:$AC$1181)) *
        (IM!$X$2:$X$1181&gt;=$A$1) *
        (IM!$X$2:$X$1181&lt;=$B$1)*(Z175="HUB")
    ) &gt; 0
), "HUB", "")</f>
        <v/>
      </c>
      <c r="O175" s="397">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4">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5">
        <f t="array" ref="V175">IFERROR(INDEX(IM!$AM$2:$AM$9382, MATCH(1, (IM!$F$2:$F$9382=A175) * (ISNUMBER(SEARCH($F$1, IM!$AC$2:$AC$9382))), 0)), "")</f>
        <v/>
      </c>
      <c r="W175" s="228">
        <f>IF(AND(AA175&lt;&gt;"", AB175&lt;&gt;""), 2, IF(OR(AA175&lt;&gt;"", AB175&lt;&gt;""), 1, 0))</f>
        <v/>
      </c>
      <c r="X175" s="228" t="n"/>
      <c r="Y175" s="390">
        <f>IF(OR(S175="STAR", W175="", X175=""), W175,
"總數：" &amp; W175 &amp; CHAR(10) &amp;
"已維修：" &amp; X175 &amp; CHAR(10) &amp;
"未更換：" &amp; (W175 - X175))</f>
        <v/>
      </c>
      <c r="Z175" s="221">
        <f>IF(VLOOKUP(A175,'0919門市清單主檔'!B:AC,28,FALSE)=0,"",VLOOKUP(A175,'0919門市清單主檔'!B:AC,28,FALSE))</f>
        <v/>
      </c>
      <c r="AA175" s="326" t="n"/>
      <c r="AB175" s="167" t="n"/>
      <c r="AC175" s="167" t="n"/>
    </row>
    <row r="176" ht="21.6" customHeight="1" s="105">
      <c r="A176" s="128" t="n">
        <v>5197</v>
      </c>
      <c r="B176" s="129">
        <f>VLOOKUP(A176,'0919門市清單主檔'!B:C,2,FALSE)</f>
        <v/>
      </c>
      <c r="C176" s="130">
        <f>VLOOKUP($A176,'0919門市清單主檔'!B:V,20,FALSE)</f>
        <v/>
      </c>
      <c r="D176" s="131">
        <f>VLOOKUP($A176,'0919門市清單主檔'!B:V,21,FALSE)</f>
        <v/>
      </c>
      <c r="E176" s="280">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4">
        <f t="array" ref="J176">IFERROR(INDEX(IM!$AM$2:$AM$9333, MATCH(1, (IM!$F$2:$F$9333=A176) * (ISNUMBER(SEARCH($C$1, IM!$AC$2:$AC$9333))), 0)), "")</f>
        <v/>
      </c>
      <c r="K176" s="316">
        <f t="array" ref="K176">SUMPRODUCT((IM!$F$2:$F$9181=A176)*(IM!$AD$2:$AD$9181="O")*(ISNUMBER(SEARCH($C$1, IM!$AC$2:$AC$9181))))</f>
        <v/>
      </c>
      <c r="L176" s="330">
        <f t="array" ref="L176">IF(K176&gt;0,IFERROR(HYPERLINK("#'IM'!AC"&amp;MATCH(1,(IM!$F$1:$F$6881=A176)*(ISNUMBER(SEARCH($C$1,IM!$AC$1:$AC$6881))),0),"檢核"),"未登錄"),"")</f>
        <v/>
      </c>
      <c r="M176" s="394">
        <f>Q176&amp;IF(AND(S176&lt;&gt;"",AND(Q176&lt;&gt;"")),$P$2,"")&amp;S176&amp;IF(U176&lt;&gt;"",$P$2,"")&amp;U176</f>
        <v/>
      </c>
      <c r="N176" s="283">
        <f t="array" ref="N176">IF(AND(
    SUMPRODUCT(
        (IM!$F$2:$F$1181=A176) *
        ISNUMBER(SEARCH("*HUB*", IM!$AC$2:$AC$1181)) *
        (IM!$X$2:$X$1181&gt;=$A$1) *
        (IM!$X$2:$X$1181&lt;=$B$1)*(Z176="HUB")
    ) &gt; 0
), "HUB", "")</f>
        <v/>
      </c>
      <c r="O176" s="397">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4">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5">
        <f t="array" ref="V176">IFERROR(INDEX(IM!$AM$2:$AM$9382, MATCH(1, (IM!$F$2:$F$9382=A176) * (ISNUMBER(SEARCH($F$1, IM!$AC$2:$AC$9382))), 0)), "")</f>
        <v/>
      </c>
      <c r="W176" s="228">
        <f>IF(AND(AA176&lt;&gt;"", AB176&lt;&gt;""), 2, IF(OR(AA176&lt;&gt;"", AB176&lt;&gt;""), 1, 0))</f>
        <v/>
      </c>
      <c r="X176" s="228" t="n"/>
      <c r="Y176" s="390">
        <f>IF(OR(S176="STAR", W176="", X176=""), W176,
"總數：" &amp; W176 &amp; CHAR(10) &amp;
"已維修：" &amp; X176 &amp; CHAR(10) &amp;
"未更換：" &amp; (W176 - X176))</f>
        <v/>
      </c>
      <c r="Z176" s="221">
        <f>IF(VLOOKUP(A176,'0919門市清單主檔'!B:AC,28,FALSE)=0,"",VLOOKUP(A176,'0919門市清單主檔'!B:AC,28,FALSE))</f>
        <v/>
      </c>
      <c r="AA176" s="326" t="n"/>
      <c r="AB176" s="167" t="n"/>
      <c r="AC176" s="167" t="n"/>
    </row>
    <row r="177" ht="21.6" customHeight="1" s="105">
      <c r="A177" s="128" t="inlineStr">
        <is>
          <t>D193</t>
        </is>
      </c>
      <c r="B177" s="129">
        <f>VLOOKUP(A177,'0919門市清單主檔'!B:C,2,FALSE)</f>
        <v/>
      </c>
      <c r="C177" s="130">
        <f>VLOOKUP($A177,'0919門市清單主檔'!B:V,20,FALSE)</f>
        <v/>
      </c>
      <c r="D177" s="131">
        <f>VLOOKUP($A177,'0919門市清單主檔'!B:V,21,FALSE)</f>
        <v/>
      </c>
      <c r="E177" s="280">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4">
        <f t="array" ref="J177">IFERROR(INDEX(IM!$AM$2:$AM$9333, MATCH(1, (IM!$F$2:$F$9333=A177) * (ISNUMBER(SEARCH($C$1, IM!$AC$2:$AC$9333))), 0)), "")</f>
        <v/>
      </c>
      <c r="K177" s="316">
        <f t="array" ref="K177">SUMPRODUCT((IM!$F$2:$F$9181=A177)*(IM!$AD$2:$AD$9181="O")*(ISNUMBER(SEARCH($C$1, IM!$AC$2:$AC$9181))))</f>
        <v/>
      </c>
      <c r="L177" s="330">
        <f t="array" ref="L177">IF(K177&gt;0,IFERROR(HYPERLINK("#'IM'!AC"&amp;MATCH(1,(IM!$F$1:$F$6881=A177)*(ISNUMBER(SEARCH($C$1,IM!$AC$1:$AC$6881))),0),"檢核"),"未登錄"),"")</f>
        <v/>
      </c>
      <c r="M177" s="394">
        <f>Q177&amp;IF(AND(S177&lt;&gt;"",AND(Q177&lt;&gt;"")),$P$2,"")&amp;S177&amp;IF(U177&lt;&gt;"",$P$2,"")&amp;U177</f>
        <v/>
      </c>
      <c r="N177" s="283">
        <f t="array" ref="N177">IF(AND(
    SUMPRODUCT(
        (IM!$F$2:$F$1181=A177) *
        ISNUMBER(SEARCH("*HUB*", IM!$AC$2:$AC$1181)) *
        (IM!$X$2:$X$1181&gt;=$A$1) *
        (IM!$X$2:$X$1181&lt;=$B$1)*(Z177="HUB")
    ) &gt; 0
), "HUB", "")</f>
        <v/>
      </c>
      <c r="O177" s="397">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4">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5">
        <f t="array" ref="V177">IFERROR(INDEX(IM!$AM$2:$AM$9382, MATCH(1, (IM!$F$2:$F$9382=A177) * (ISNUMBER(SEARCH($F$1, IM!$AC$2:$AC$9382))), 0)), "")</f>
        <v/>
      </c>
      <c r="W177" s="228">
        <f>IF(AND(AA177&lt;&gt;"", AB177&lt;&gt;""), 2, IF(OR(AA177&lt;&gt;"", AB177&lt;&gt;""), 1, 0))</f>
        <v/>
      </c>
      <c r="X177" s="228" t="n"/>
      <c r="Y177" s="390">
        <f>IF(OR(S177="STAR", W177="", X177=""), W177,
"總數：" &amp; W177 &amp; CHAR(10) &amp;
"已維修：" &amp; X177 &amp; CHAR(10) &amp;
"未更換：" &amp; (W177 - X177))</f>
        <v/>
      </c>
      <c r="Z177" s="221">
        <f>IF(VLOOKUP(A177,'0919門市清單主檔'!B:AC,28,FALSE)=0,"",VLOOKUP(A177,'0919門市清單主檔'!B:AC,28,FALSE))</f>
        <v/>
      </c>
      <c r="AA177" s="326" t="n"/>
      <c r="AB177" s="167" t="n"/>
      <c r="AC177" s="167" t="inlineStr">
        <is>
          <t>STAR</t>
        </is>
      </c>
    </row>
    <row r="178" ht="21.6" customHeight="1" s="105">
      <c r="A178" s="128" t="n">
        <v>2890</v>
      </c>
      <c r="B178" s="129">
        <f>VLOOKUP(A178,'0919門市清單主檔'!B:C,2,FALSE)</f>
        <v/>
      </c>
      <c r="C178" s="130">
        <f>VLOOKUP($A178,'0919門市清單主檔'!B:V,20,FALSE)</f>
        <v/>
      </c>
      <c r="D178" s="131">
        <f>VLOOKUP($A178,'0919門市清單主檔'!B:V,21,FALSE)</f>
        <v/>
      </c>
      <c r="E178" s="280">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4">
        <f t="array" ref="J178">IFERROR(INDEX(IM!$AM$2:$AM$9333, MATCH(1, (IM!$F$2:$F$9333=A178) * (ISNUMBER(SEARCH($C$1, IM!$AC$2:$AC$9333))), 0)), "")</f>
        <v/>
      </c>
      <c r="K178" s="316">
        <f t="array" ref="K178">SUMPRODUCT((IM!$F$2:$F$9181=A178)*(IM!$AD$2:$AD$9181="O")*(ISNUMBER(SEARCH($C$1, IM!$AC$2:$AC$9181))))</f>
        <v/>
      </c>
      <c r="L178" s="330">
        <f t="array" ref="L178">IF(K178&gt;0,IFERROR(HYPERLINK("#'IM'!AC"&amp;MATCH(1,(IM!$F$1:$F$6881=A178)*(ISNUMBER(SEARCH($C$1,IM!$AC$1:$AC$6881))),0),"檢核"),"未登錄"),"")</f>
        <v/>
      </c>
      <c r="M178" s="394">
        <f>Q178&amp;IF(AND(S178&lt;&gt;"",AND(Q178&lt;&gt;"")),$P$2,"")&amp;S178&amp;IF(U178&lt;&gt;"",$P$2,"")&amp;U178</f>
        <v/>
      </c>
      <c r="N178" s="283">
        <f t="array" ref="N178">IF(AND(
    SUMPRODUCT(
        (IM!$F$2:$F$1181=A178) *
        ISNUMBER(SEARCH("*HUB*", IM!$AC$2:$AC$1181)) *
        (IM!$X$2:$X$1181&gt;=$A$1) *
        (IM!$X$2:$X$1181&lt;=$B$1)*(Z178="HUB")
    ) &gt; 0
), "HUB", "")</f>
        <v/>
      </c>
      <c r="O178" s="397">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4">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5">
        <f t="array" ref="V178">IFERROR(INDEX(IM!$AM$2:$AM$9382, MATCH(1, (IM!$F$2:$F$9382=A178) * (ISNUMBER(SEARCH($F$1, IM!$AC$2:$AC$9382))), 0)), "")</f>
        <v/>
      </c>
      <c r="W178" s="228">
        <f>IF(AND(AA178&lt;&gt;"", AB178&lt;&gt;""), 2, IF(OR(AA178&lt;&gt;"", AB178&lt;&gt;""), 1, 0))</f>
        <v/>
      </c>
      <c r="X178" s="228" t="n"/>
      <c r="Y178" s="390">
        <f>IF(OR(S178="STAR", W178="", X178=""), W178,
"總數：" &amp; W178 &amp; CHAR(10) &amp;
"已維修：" &amp; X178 &amp; CHAR(10) &amp;
"未更換：" &amp; (W178 - X178))</f>
        <v/>
      </c>
      <c r="Z178" s="221">
        <f>IF(VLOOKUP(A178,'0919門市清單主檔'!B:AC,28,FALSE)=0,"",VLOOKUP(A178,'0919門市清單主檔'!B:AC,28,FALSE))</f>
        <v/>
      </c>
      <c r="AA178" s="326" t="n"/>
      <c r="AB178" s="167" t="n"/>
      <c r="AC178" s="167" t="inlineStr">
        <is>
          <t>STAR</t>
        </is>
      </c>
    </row>
    <row r="179" ht="21.6" customHeight="1" s="105">
      <c r="A179" s="128" t="n">
        <v>4316</v>
      </c>
      <c r="B179" s="129">
        <f>VLOOKUP(A179,'0919門市清單主檔'!B:C,2,FALSE)</f>
        <v/>
      </c>
      <c r="C179" s="130">
        <f>VLOOKUP($A179,'0919門市清單主檔'!B:V,20,FALSE)</f>
        <v/>
      </c>
      <c r="D179" s="131">
        <f>VLOOKUP($A179,'0919門市清單主檔'!B:V,21,FALSE)</f>
        <v/>
      </c>
      <c r="E179" s="280">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4">
        <f t="array" ref="J179">IFERROR(INDEX(IM!$AM$2:$AM$9333, MATCH(1, (IM!$F$2:$F$9333=A179) * (ISNUMBER(SEARCH($C$1, IM!$AC$2:$AC$9333))), 0)), "")</f>
        <v/>
      </c>
      <c r="K179" s="316">
        <f t="array" ref="K179">SUMPRODUCT((IM!$F$2:$F$9181=A179)*(IM!$AD$2:$AD$9181="O")*(ISNUMBER(SEARCH($C$1, IM!$AC$2:$AC$9181))))</f>
        <v/>
      </c>
      <c r="L179" s="330">
        <f t="array" ref="L179">IF(K179&gt;0,IFERROR(HYPERLINK("#'IM'!AC"&amp;MATCH(1,(IM!$F$1:$F$6881=A179)*(ISNUMBER(SEARCH($C$1,IM!$AC$1:$AC$6881))),0),"檢核"),"未登錄"),"")</f>
        <v/>
      </c>
      <c r="M179" s="394">
        <f>Q179&amp;IF(AND(S179&lt;&gt;"",AND(Q179&lt;&gt;"")),$P$2,"")&amp;S179&amp;IF(U179&lt;&gt;"",$P$2,"")&amp;U179</f>
        <v/>
      </c>
      <c r="N179" s="283">
        <f t="array" ref="N179">IF(AND(
    SUMPRODUCT(
        (IM!$F$2:$F$1181=A179) *
        ISNUMBER(SEARCH("*HUB*", IM!$AC$2:$AC$1181)) *
        (IM!$X$2:$X$1181&gt;=$A$1) *
        (IM!$X$2:$X$1181&lt;=$B$1)*(Z179="HUB")
    ) &gt; 0
), "HUB", "")</f>
        <v/>
      </c>
      <c r="O179" s="397">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4">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5">
        <f t="array" ref="V179">IFERROR(INDEX(IM!$AM$2:$AM$9382, MATCH(1, (IM!$F$2:$F$9382=A179) * (ISNUMBER(SEARCH($F$1, IM!$AC$2:$AC$9382))), 0)), "")</f>
        <v/>
      </c>
      <c r="W179" s="228">
        <f>IF(AND(AA179&lt;&gt;"", AB179&lt;&gt;""), 2, IF(OR(AA179&lt;&gt;"", AB179&lt;&gt;""), 1, 0))</f>
        <v/>
      </c>
      <c r="X179" s="228" t="n"/>
      <c r="Y179" s="390">
        <f>IF(OR(S179="STAR", W179="", X179=""), W179,
"總數：" &amp; W179 &amp; CHAR(10) &amp;
"已維修：" &amp; X179 &amp; CHAR(10) &amp;
"未更換：" &amp; (W179 - X179))</f>
        <v/>
      </c>
      <c r="Z179" s="221">
        <f>IF(VLOOKUP(A179,'0919門市清單主檔'!B:AC,28,FALSE)=0,"",VLOOKUP(A179,'0919門市清單主檔'!B:AC,28,FALSE))</f>
        <v/>
      </c>
      <c r="AA179" s="326" t="n"/>
      <c r="AB179" s="167" t="n"/>
      <c r="AC179" s="167" t="inlineStr">
        <is>
          <t>STAR</t>
        </is>
      </c>
    </row>
    <row r="180" ht="21.6" customHeight="1" s="105">
      <c r="A180" s="128" t="n">
        <v>3957</v>
      </c>
      <c r="B180" s="129">
        <f>VLOOKUP(A180,'0919門市清單主檔'!B:C,2,FALSE)</f>
        <v/>
      </c>
      <c r="C180" s="130">
        <f>VLOOKUP($A180,'0919門市清單主檔'!B:V,20,FALSE)</f>
        <v/>
      </c>
      <c r="D180" s="131">
        <f>VLOOKUP($A180,'0919門市清單主檔'!B:V,21,FALSE)</f>
        <v/>
      </c>
      <c r="E180" s="280">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4">
        <f t="array" ref="J180">IFERROR(INDEX(IM!$AM$2:$AM$9333, MATCH(1, (IM!$F$2:$F$9333=A180) * (ISNUMBER(SEARCH($C$1, IM!$AC$2:$AC$9333))), 0)), "")</f>
        <v/>
      </c>
      <c r="K180" s="316">
        <f t="array" ref="K180">SUMPRODUCT((IM!$F$2:$F$9181=A180)*(IM!$AD$2:$AD$9181="O")*(ISNUMBER(SEARCH($C$1, IM!$AC$2:$AC$9181))))</f>
        <v/>
      </c>
      <c r="L180" s="330">
        <f t="array" ref="L180">IF(K180&gt;0,IFERROR(HYPERLINK("#'IM'!AC"&amp;MATCH(1,(IM!$F$1:$F$6881=A180)*(ISNUMBER(SEARCH($C$1,IM!$AC$1:$AC$6881))),0),"檢核"),"未登錄"),"")</f>
        <v/>
      </c>
      <c r="M180" s="394">
        <f>Q180&amp;IF(AND(S180&lt;&gt;"",AND(Q180&lt;&gt;"")),$P$2,"")&amp;S180&amp;IF(U180&lt;&gt;"",$P$2,"")&amp;U180</f>
        <v/>
      </c>
      <c r="N180" s="283">
        <f t="array" ref="N180">IF(AND(
    SUMPRODUCT(
        (IM!$F$2:$F$1181=A180) *
        ISNUMBER(SEARCH("*HUB*", IM!$AC$2:$AC$1181)) *
        (IM!$X$2:$X$1181&gt;=$A$1) *
        (IM!$X$2:$X$1181&lt;=$B$1)*(Z180="HUB")
    ) &gt; 0
), "HUB", "")</f>
        <v/>
      </c>
      <c r="O180" s="397">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4">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5">
        <f t="array" ref="V180">IFERROR(INDEX(IM!$AM$2:$AM$9382, MATCH(1, (IM!$F$2:$F$9382=A180) * (ISNUMBER(SEARCH($F$1, IM!$AC$2:$AC$9382))), 0)), "")</f>
        <v/>
      </c>
      <c r="W180" s="228">
        <f>IF(AND(AA180&lt;&gt;"", AB180&lt;&gt;""), 2, IF(OR(AA180&lt;&gt;"", AB180&lt;&gt;""), 1, 0))</f>
        <v/>
      </c>
      <c r="X180" s="228" t="n"/>
      <c r="Y180" s="390">
        <f>IF(OR(S180="STAR", W180="", X180=""), W180,
"總數：" &amp; W180 &amp; CHAR(10) &amp;
"已維修：" &amp; X180 &amp; CHAR(10) &amp;
"未更換：" &amp; (W180 - X180))</f>
        <v/>
      </c>
      <c r="Z180" s="221">
        <f>IF(VLOOKUP(A180,'0919門市清單主檔'!B:AC,28,FALSE)=0,"",VLOOKUP(A180,'0919門市清單主檔'!B:AC,28,FALSE))</f>
        <v/>
      </c>
      <c r="AA180" s="326" t="n"/>
      <c r="AB180" s="167" t="n"/>
      <c r="AC180" s="167" t="inlineStr">
        <is>
          <t>STAR</t>
        </is>
      </c>
    </row>
    <row r="181" ht="21.6" customHeight="1" s="105">
      <c r="A181" s="128" t="n">
        <v>3752</v>
      </c>
      <c r="B181" s="129">
        <f>VLOOKUP(A181,'0919門市清單主檔'!B:C,2,FALSE)</f>
        <v/>
      </c>
      <c r="C181" s="130">
        <f>VLOOKUP($A181,'0919門市清單主檔'!B:V,20,FALSE)</f>
        <v/>
      </c>
      <c r="D181" s="131">
        <f>VLOOKUP($A181,'0919門市清單主檔'!B:V,21,FALSE)</f>
        <v/>
      </c>
      <c r="E181" s="280">
        <f>VLOOKUP(D181,門市狀態!G:H,2,FALSE)</f>
        <v/>
      </c>
      <c r="F181" s="132">
        <f>IFERROR(IF(VLOOKUP(A181,門市狀態!A:D,4,FALSE)=0,"",VLOOKUP(A181,門市狀態!A:D,4,FALSE)),"")</f>
        <v/>
      </c>
      <c r="G181" s="133" t="inlineStr">
        <is>
          <t>學校</t>
        </is>
      </c>
      <c r="H181" s="134">
        <f>IF(I181&gt;0,(TEXT(I181,"yyyymmdd")&amp;$T$2&amp;A181&amp;$T$2&amp;B181&amp;$Q$2),"")</f>
        <v/>
      </c>
      <c r="I181" s="136">
        <f t="array" ref="I181">IF(AND(SUMPRODUCT((IM!$F$2:$F$1181=A181)*(ISNUMBER(SEARCH($C$1, IM!$AC$2:$AC$1181))))&gt;0), $C$1, "")</f>
        <v/>
      </c>
      <c r="J181" s="314">
        <f t="array" ref="J181">IFERROR(INDEX(IM!$AM$2:$AM$9333, MATCH(1, (IM!$F$2:$F$9333=A181) * (ISNUMBER(SEARCH($C$1, IM!$AC$2:$AC$9333))), 0)), "")</f>
        <v/>
      </c>
      <c r="K181" s="316">
        <f t="array" ref="K181">SUMPRODUCT((IM!$F$2:$F$9181=A181)*(IM!$AD$2:$AD$9181="O")*(ISNUMBER(SEARCH($C$1, IM!$AC$2:$AC$9181))))</f>
        <v/>
      </c>
      <c r="L181" s="330">
        <f t="array" ref="L181">IF(K181&gt;0,IFERROR(HYPERLINK("#'IM'!AC"&amp;MATCH(1,(IM!$F$1:$F$6881=A181)*(ISNUMBER(SEARCH($C$1,IM!$AC$1:$AC$6881))),0),"檢核"),"未登錄"),"")</f>
        <v/>
      </c>
      <c r="M181" s="394">
        <f>Q181&amp;IF(AND(S181&lt;&gt;"",AND(Q181&lt;&gt;"")),$P$2,"")&amp;S181&amp;IF(U181&lt;&gt;"",$P$2,"")&amp;U181</f>
        <v/>
      </c>
      <c r="N181" s="283">
        <f t="array" ref="N181">IF(AND(
    SUMPRODUCT(
        (IM!$F$2:$F$1181=A181) *
        ISNUMBER(SEARCH("*HUB*", IM!$AC$2:$AC$1181)) *
        (IM!$X$2:$X$1181&gt;=$A$1) *
        (IM!$X$2:$X$1181&lt;=$B$1)*(Z181="HUB")
    ) &gt; 0
), "HUB", "")</f>
        <v/>
      </c>
      <c r="O181" s="397">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4">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5">
        <f t="array" ref="V181">IFERROR(INDEX(IM!$AM$2:$AM$9382, MATCH(1, (IM!$F$2:$F$9382=A181) * (ISNUMBER(SEARCH($F$1, IM!$AC$2:$AC$9382))), 0)), "")</f>
        <v/>
      </c>
      <c r="W181" s="228">
        <f>IF(AND(AA181&lt;&gt;"", AB181&lt;&gt;""), 2, IF(OR(AA181&lt;&gt;"", AB181&lt;&gt;""), 1, 0))</f>
        <v/>
      </c>
      <c r="X181" s="228" t="n"/>
      <c r="Y181" s="390">
        <f>IF(OR(S181="STAR", W181="", X181=""), W181,
"總數：" &amp; W181 &amp; CHAR(10) &amp;
"已維修：" &amp; X181 &amp; CHAR(10) &amp;
"未更換：" &amp; (W181 - X181))</f>
        <v/>
      </c>
      <c r="Z181" s="221">
        <f>IF(VLOOKUP(A181,'0919門市清單主檔'!B:AC,28,FALSE)=0,"",VLOOKUP(A181,'0919門市清單主檔'!B:AC,28,FALSE))</f>
        <v/>
      </c>
      <c r="AA181" s="326" t="n"/>
      <c r="AB181" s="167" t="n"/>
      <c r="AC181" s="167" t="inlineStr">
        <is>
          <t>STAR</t>
        </is>
      </c>
    </row>
    <row r="182" ht="21.6" customHeight="1" s="105">
      <c r="A182" s="128" t="inlineStr">
        <is>
          <t>A171</t>
        </is>
      </c>
      <c r="B182" s="129">
        <f>VLOOKUP(A182,'0919門市清單主檔'!B:C,2,FALSE)</f>
        <v/>
      </c>
      <c r="C182" s="130">
        <f>VLOOKUP($A182,'0919門市清單主檔'!B:V,20,FALSE)</f>
        <v/>
      </c>
      <c r="D182" s="131">
        <f>VLOOKUP($A182,'0919門市清單主檔'!B:V,21,FALSE)</f>
        <v/>
      </c>
      <c r="E182" s="280">
        <f>VLOOKUP(D182,門市狀態!G:H,2,FALSE)</f>
        <v/>
      </c>
      <c r="F182" s="132">
        <f>IFERROR(IF(VLOOKUP(A182,門市狀態!A:D,4,FALSE)=0,"",VLOOKUP(A182,門市狀態!A:D,4,FALSE)),"")</f>
        <v/>
      </c>
      <c r="G182" s="133" t="n"/>
      <c r="H182" s="134">
        <f>IF(I182&gt;0,(TEXT(I182,"yyyymmdd")&amp;$T$2&amp;A182&amp;$T$2&amp;B182&amp;$Q$2),"")</f>
        <v/>
      </c>
      <c r="I182" s="136">
        <f t="array" ref="I182">IF(AND(SUMPRODUCT((IM!$F$2:$F$1181=A182)*(ISNUMBER(SEARCH($C$1, IM!$AC$2:$AC$1181))))&gt;0), $C$1, "")</f>
        <v/>
      </c>
      <c r="J182" s="314">
        <f t="array" ref="J182">IFERROR(INDEX(IM!$AM$2:$AM$9333, MATCH(1, (IM!$F$2:$F$9333=A182) * (ISNUMBER(SEARCH($C$1, IM!$AC$2:$AC$9333))), 0)), "")</f>
        <v/>
      </c>
      <c r="K182" s="316">
        <f t="array" ref="K182">SUMPRODUCT((IM!$F$2:$F$9181=A182)*(IM!$AD$2:$AD$9181="O")*(ISNUMBER(SEARCH($C$1, IM!$AC$2:$AC$9181))))</f>
        <v/>
      </c>
      <c r="L182" s="330">
        <f t="array" ref="L182">IF(K182&gt;0,IFERROR(HYPERLINK("#'IM'!AC"&amp;MATCH(1,(IM!$F$1:$F$6881=A182)*(ISNUMBER(SEARCH($C$1,IM!$AC$1:$AC$6881))),0),"檢核"),"未登錄"),"")</f>
        <v/>
      </c>
      <c r="M182" s="394">
        <f>Q182&amp;IF(AND(S182&lt;&gt;"",AND(Q182&lt;&gt;"")),$P$2,"")&amp;S182&amp;IF(U182&lt;&gt;"",$P$2,"")&amp;U182</f>
        <v/>
      </c>
      <c r="N182" s="283">
        <f t="array" ref="N182">IF(AND(
    SUMPRODUCT(
        (IM!$F$2:$F$1181=A182) *
        ISNUMBER(SEARCH("*HUB*", IM!$AC$2:$AC$1181)) *
        (IM!$X$2:$X$1181&gt;=$A$1) *
        (IM!$X$2:$X$1181&lt;=$B$1)*(Z182="HUB")
    ) &gt; 0
), "HUB", "")</f>
        <v/>
      </c>
      <c r="O182" s="397">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4">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5">
        <f t="array" ref="V182">IFERROR(INDEX(IM!$AM$2:$AM$9382, MATCH(1, (IM!$F$2:$F$9382=A182) * (ISNUMBER(SEARCH($F$1, IM!$AC$2:$AC$9382))), 0)), "")</f>
        <v/>
      </c>
      <c r="W182" s="228">
        <f>IF(AND(AA182&lt;&gt;"", AB182&lt;&gt;""), 2, IF(OR(AA182&lt;&gt;"", AB182&lt;&gt;""), 1, 0))</f>
        <v/>
      </c>
      <c r="X182" s="228" t="n"/>
      <c r="Y182" s="390">
        <f>IF(OR(S182="STAR", W182="", X182=""), W182,
"總數：" &amp; W182 &amp; CHAR(10) &amp;
"已維修：" &amp; X182 &amp; CHAR(10) &amp;
"未更換：" &amp; (W182 - X182))</f>
        <v/>
      </c>
      <c r="Z182" s="221">
        <f>IF(VLOOKUP(A182,'0919門市清單主檔'!B:AC,28,FALSE)=0,"",VLOOKUP(A182,'0919門市清單主檔'!B:AC,28,FALSE))</f>
        <v/>
      </c>
      <c r="AA182" s="326" t="n"/>
      <c r="AB182" s="167" t="n"/>
      <c r="AC182" s="167" t="inlineStr">
        <is>
          <t>STAR</t>
        </is>
      </c>
    </row>
    <row r="183" ht="21.6" customHeight="1" s="105">
      <c r="A183" s="128" t="n">
        <v>4511</v>
      </c>
      <c r="B183" s="129">
        <f>VLOOKUP(A183,'0919門市清單主檔'!B:C,2,FALSE)</f>
        <v/>
      </c>
      <c r="C183" s="130">
        <f>VLOOKUP($A183,'0919門市清單主檔'!B:V,20,FALSE)</f>
        <v/>
      </c>
      <c r="D183" s="131">
        <f>VLOOKUP($A183,'0919門市清單主檔'!B:V,21,FALSE)</f>
        <v/>
      </c>
      <c r="E183" s="280">
        <f>VLOOKUP(D183,門市狀態!G:H,2,FALSE)</f>
        <v/>
      </c>
      <c r="F183" s="132">
        <f>IFERROR(IF(VLOOKUP(A183,門市狀態!A:D,4,FALSE)=0,"",VLOOKUP(A183,門市狀態!A:D,4,FALSE)),"")</f>
        <v/>
      </c>
      <c r="G183" s="133" t="n"/>
      <c r="H183" s="134">
        <f>IF(I183&gt;0,(TEXT(I183,"yyyymmdd")&amp;$T$2&amp;A183&amp;$T$2&amp;B183&amp;$Q$2),"")</f>
        <v/>
      </c>
      <c r="I183" s="136">
        <f t="array" ref="I183">IF(AND(SUMPRODUCT((IM!$F$2:$F$1181=A183)*(ISNUMBER(SEARCH($C$1, IM!$AC$2:$AC$1181))))&gt;0), $C$1, "")</f>
        <v/>
      </c>
      <c r="J183" s="314">
        <f t="array" ref="J183">IFERROR(INDEX(IM!$AM$2:$AM$9333, MATCH(1, (IM!$F$2:$F$9333=A183) * (ISNUMBER(SEARCH($C$1, IM!$AC$2:$AC$9333))), 0)), "")</f>
        <v/>
      </c>
      <c r="K183" s="316">
        <f t="array" ref="K183">SUMPRODUCT((IM!$F$2:$F$9181=A183)*(IM!$AD$2:$AD$9181="O")*(ISNUMBER(SEARCH($C$1, IM!$AC$2:$AC$9181))))</f>
        <v/>
      </c>
      <c r="L183" s="330">
        <f t="array" ref="L183">IF(K183&gt;0,IFERROR(HYPERLINK("#'IM'!AC"&amp;MATCH(1,(IM!$F$1:$F$6881=A183)*(ISNUMBER(SEARCH($C$1,IM!$AC$1:$AC$6881))),0),"檢核"),"未登錄"),"")</f>
        <v/>
      </c>
      <c r="M183" s="394">
        <f>Q183&amp;IF(AND(S183&lt;&gt;"",AND(Q183&lt;&gt;"")),$P$2,"")&amp;S183&amp;IF(U183&lt;&gt;"",$P$2,"")&amp;U183</f>
        <v/>
      </c>
      <c r="N183" s="283">
        <f t="array" ref="N183">IF(AND(
    SUMPRODUCT(
        (IM!$F$2:$F$1181=A183) *
        ISNUMBER(SEARCH("*HUB*", IM!$AC$2:$AC$1181)) *
        (IM!$X$2:$X$1181&gt;=$A$1) *
        (IM!$X$2:$X$1181&lt;=$B$1)*(Z183="HUB")
    ) &gt; 0
), "HUB", "")</f>
        <v/>
      </c>
      <c r="O183" s="397">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4">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5">
        <f t="array" ref="V183">IFERROR(INDEX(IM!$AM$2:$AM$9382, MATCH(1, (IM!$F$2:$F$9382=A183) * (ISNUMBER(SEARCH($F$1, IM!$AC$2:$AC$9382))), 0)), "")</f>
        <v/>
      </c>
      <c r="W183" s="228">
        <f>IF(AND(AA183&lt;&gt;"", AB183&lt;&gt;""), 2, IF(OR(AA183&lt;&gt;"", AB183&lt;&gt;""), 1, 0))</f>
        <v/>
      </c>
      <c r="X183" s="228" t="n"/>
      <c r="Y183" s="390">
        <f>IF(OR(S183="STAR", W183="", X183=""), W183,
"總數：" &amp; W183 &amp; CHAR(10) &amp;
"已維修：" &amp; X183 &amp; CHAR(10) &amp;
"未更換：" &amp; (W183 - X183))</f>
        <v/>
      </c>
      <c r="Z183" s="221">
        <f>IF(VLOOKUP(A183,'0919門市清單主檔'!B:AC,28,FALSE)=0,"",VLOOKUP(A183,'0919門市清單主檔'!B:AC,28,FALSE))</f>
        <v/>
      </c>
      <c r="AA183" s="326" t="n"/>
      <c r="AB183" s="167" t="n"/>
      <c r="AC183" s="167" t="n"/>
    </row>
    <row r="184" ht="21.6" customHeight="1" s="105">
      <c r="A184" s="128" t="n">
        <v>2237</v>
      </c>
      <c r="B184" s="129">
        <f>VLOOKUP(A184,'0919門市清單主檔'!B:C,2,FALSE)</f>
        <v/>
      </c>
      <c r="C184" s="130">
        <f>VLOOKUP($A184,'0919門市清單主檔'!B:V,20,FALSE)</f>
        <v/>
      </c>
      <c r="D184" s="131">
        <f>VLOOKUP($A184,'0919門市清單主檔'!B:V,21,FALSE)</f>
        <v/>
      </c>
      <c r="E184" s="280">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4">
        <f t="array" ref="J184">IFERROR(INDEX(IM!$AM$2:$AM$9333, MATCH(1, (IM!$F$2:$F$9333=A184) * (ISNUMBER(SEARCH($C$1, IM!$AC$2:$AC$9333))), 0)), "")</f>
        <v/>
      </c>
      <c r="K184" s="316">
        <f t="array" ref="K184">SUMPRODUCT((IM!$F$2:$F$9181=A184)*(IM!$AD$2:$AD$9181="O")*(ISNUMBER(SEARCH($C$1, IM!$AC$2:$AC$9181))))</f>
        <v/>
      </c>
      <c r="L184" s="330">
        <f t="array" ref="L184">IF(K184&gt;0,IFERROR(HYPERLINK("#'IM'!AC"&amp;MATCH(1,(IM!$F$1:$F$6881=A184)*(ISNUMBER(SEARCH($C$1,IM!$AC$1:$AC$6881))),0),"檢核"),"未登錄"),"")</f>
        <v/>
      </c>
      <c r="M184" s="394">
        <f>Q184&amp;IF(AND(S184&lt;&gt;"",AND(Q184&lt;&gt;"")),$P$2,"")&amp;S184&amp;IF(U184&lt;&gt;"",$P$2,"")&amp;U184</f>
        <v/>
      </c>
      <c r="N184" s="283">
        <f t="array" ref="N184">IF(AND(
    SUMPRODUCT(
        (IM!$F$2:$F$1181=A184) *
        ISNUMBER(SEARCH("*HUB*", IM!$AC$2:$AC$1181)) *
        (IM!$X$2:$X$1181&gt;=$A$1) *
        (IM!$X$2:$X$1181&lt;=$B$1)*(Z184="HUB")
    ) &gt; 0
), "HUB", "")</f>
        <v/>
      </c>
      <c r="O184" s="397">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4">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5">
        <f t="array" ref="V184">IFERROR(INDEX(IM!$AM$2:$AM$9382, MATCH(1, (IM!$F$2:$F$9382=A184) * (ISNUMBER(SEARCH($F$1, IM!$AC$2:$AC$9382))), 0)), "")</f>
        <v/>
      </c>
      <c r="W184" s="228">
        <f>IF(AND(AA184&lt;&gt;"", AB184&lt;&gt;""), 2, IF(OR(AA184&lt;&gt;"", AB184&lt;&gt;""), 1, 0))</f>
        <v/>
      </c>
      <c r="X184" s="228" t="n"/>
      <c r="Y184" s="390">
        <f>IF(OR(S184="STAR", W184="", X184=""), W184,
"總數：" &amp; W184 &amp; CHAR(10) &amp;
"已維修：" &amp; X184 &amp; CHAR(10) &amp;
"未更換：" &amp; (W184 - X184))</f>
        <v/>
      </c>
      <c r="Z184" s="221">
        <f>IF(VLOOKUP(A184,'0919門市清單主檔'!B:AC,28,FALSE)=0,"",VLOOKUP(A184,'0919門市清單主檔'!B:AC,28,FALSE))</f>
        <v/>
      </c>
      <c r="AA184" s="326" t="n"/>
      <c r="AB184" s="167" t="n"/>
      <c r="AC184" s="167" t="inlineStr">
        <is>
          <t>STAR</t>
        </is>
      </c>
    </row>
    <row r="185" ht="21.6" customHeight="1" s="105">
      <c r="A185" s="128" t="n">
        <v>4739</v>
      </c>
      <c r="B185" s="129">
        <f>VLOOKUP(A185,'0919門市清單主檔'!B:C,2,FALSE)</f>
        <v/>
      </c>
      <c r="C185" s="130">
        <f>VLOOKUP($A185,'0919門市清單主檔'!B:V,20,FALSE)</f>
        <v/>
      </c>
      <c r="D185" s="131">
        <f>VLOOKUP($A185,'0919門市清單主檔'!B:V,21,FALSE)</f>
        <v/>
      </c>
      <c r="E185" s="280">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4">
        <f t="array" ref="J185">IFERROR(INDEX(IM!$AM$2:$AM$9333, MATCH(1, (IM!$F$2:$F$9333=A185) * (ISNUMBER(SEARCH($C$1, IM!$AC$2:$AC$9333))), 0)), "")</f>
        <v/>
      </c>
      <c r="K185" s="316">
        <f t="array" ref="K185">SUMPRODUCT((IM!$F$2:$F$9181=A185)*(IM!$AD$2:$AD$9181="O")*(ISNUMBER(SEARCH($C$1, IM!$AC$2:$AC$9181))))</f>
        <v/>
      </c>
      <c r="L185" s="330">
        <f t="array" ref="L185">IF(K185&gt;0,IFERROR(HYPERLINK("#'IM'!AC"&amp;MATCH(1,(IM!$F$1:$F$6881=A185)*(ISNUMBER(SEARCH($C$1,IM!$AC$1:$AC$6881))),0),"檢核"),"未登錄"),"")</f>
        <v/>
      </c>
      <c r="M185" s="394">
        <f>Q185&amp;IF(AND(S185&lt;&gt;"",AND(Q185&lt;&gt;"")),$P$2,"")&amp;S185&amp;IF(U185&lt;&gt;"",$P$2,"")&amp;U185</f>
        <v/>
      </c>
      <c r="N185" s="283">
        <f t="array" ref="N185">IF(AND(
    SUMPRODUCT(
        (IM!$F$2:$F$1181=A185) *
        ISNUMBER(SEARCH("*HUB*", IM!$AC$2:$AC$1181)) *
        (IM!$X$2:$X$1181&gt;=$A$1) *
        (IM!$X$2:$X$1181&lt;=$B$1)*(Z185="HUB")
    ) &gt; 0
), "HUB", "")</f>
        <v/>
      </c>
      <c r="O185" s="397">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4">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5">
        <f t="array" ref="V185">IFERROR(INDEX(IM!$AM$2:$AM$9382, MATCH(1, (IM!$F$2:$F$9382=A185) * (ISNUMBER(SEARCH($F$1, IM!$AC$2:$AC$9382))), 0)), "")</f>
        <v/>
      </c>
      <c r="W185" s="228">
        <f>IF(AND(AA185&lt;&gt;"", AB185&lt;&gt;""), 2, IF(OR(AA185&lt;&gt;"", AB185&lt;&gt;""), 1, 0))</f>
        <v/>
      </c>
      <c r="X185" s="228" t="n"/>
      <c r="Y185" s="390">
        <f>IF(OR(S185="STAR", W185="", X185=""), W185,
"總數：" &amp; W185 &amp; CHAR(10) &amp;
"已維修：" &amp; X185 &amp; CHAR(10) &amp;
"未更換：" &amp; (W185 - X185))</f>
        <v/>
      </c>
      <c r="Z185" s="221">
        <f>IF(VLOOKUP(A185,'0919門市清單主檔'!B:AC,28,FALSE)=0,"",VLOOKUP(A185,'0919門市清單主檔'!B:AC,28,FALSE))</f>
        <v/>
      </c>
      <c r="AA185" s="326" t="n"/>
      <c r="AB185" s="167" t="n"/>
      <c r="AC185" s="167" t="inlineStr">
        <is>
          <t>STAR</t>
        </is>
      </c>
    </row>
    <row r="186" ht="21.6" customHeight="1" s="105">
      <c r="A186" s="128" t="n">
        <v>4844</v>
      </c>
      <c r="B186" s="129">
        <f>VLOOKUP(A186,'0919門市清單主檔'!B:C,2,FALSE)</f>
        <v/>
      </c>
      <c r="C186" s="130">
        <f>VLOOKUP($A186,'0919門市清單主檔'!B:V,20,FALSE)</f>
        <v/>
      </c>
      <c r="D186" s="131">
        <f>VLOOKUP($A186,'0919門市清單主檔'!B:V,21,FALSE)</f>
        <v/>
      </c>
      <c r="E186" s="280">
        <f>VLOOKUP(D186,門市狀態!G:H,2,FALSE)</f>
        <v/>
      </c>
      <c r="F186" s="132">
        <f>IFERROR(IF(VLOOKUP(A186,門市狀態!A:D,4,FALSE)=0,"",VLOOKUP(A186,門市狀態!A:D,4,FALSE)),"")</f>
        <v/>
      </c>
      <c r="G186" s="133" t="n"/>
      <c r="H186" s="134">
        <f>IF(I186&gt;0,(TEXT(I186,"yyyymmdd")&amp;$T$2&amp;A186&amp;$T$2&amp;B186&amp;$Q$2),"")</f>
        <v/>
      </c>
      <c r="I186" s="136">
        <f t="array" ref="I186">IF(AND(SUMPRODUCT((IM!$F$2:$F$1181=A186)*(ISNUMBER(SEARCH($C$1, IM!$AC$2:$AC$1181))))&gt;0), $C$1, "")</f>
        <v/>
      </c>
      <c r="J186" s="314">
        <f t="array" ref="J186">IFERROR(INDEX(IM!$AM$2:$AM$9333, MATCH(1, (IM!$F$2:$F$9333=A186) * (ISNUMBER(SEARCH($C$1, IM!$AC$2:$AC$9333))), 0)), "")</f>
        <v/>
      </c>
      <c r="K186" s="316">
        <f t="array" ref="K186">SUMPRODUCT((IM!$F$2:$F$9181=A186)*(IM!$AD$2:$AD$9181="O")*(ISNUMBER(SEARCH($C$1, IM!$AC$2:$AC$9181))))</f>
        <v/>
      </c>
      <c r="L186" s="330">
        <f t="array" ref="L186">IF(K186&gt;0,IFERROR(HYPERLINK("#'IM'!AC"&amp;MATCH(1,(IM!$F$1:$F$6881=A186)*(ISNUMBER(SEARCH($C$1,IM!$AC$1:$AC$6881))),0),"檢核"),"未登錄"),"")</f>
        <v/>
      </c>
      <c r="M186" s="394">
        <f>Q186&amp;IF(AND(S186&lt;&gt;"",AND(Q186&lt;&gt;"")),$P$2,"")&amp;S186&amp;IF(U186&lt;&gt;"",$P$2,"")&amp;U186</f>
        <v/>
      </c>
      <c r="N186" s="283">
        <f t="array" ref="N186">IF(AND(
    SUMPRODUCT(
        (IM!$F$2:$F$1181=A186) *
        ISNUMBER(SEARCH("*HUB*", IM!$AC$2:$AC$1181)) *
        (IM!$X$2:$X$1181&gt;=$A$1) *
        (IM!$X$2:$X$1181&lt;=$B$1)*(Z186="HUB")
    ) &gt; 0
), "HUB", "")</f>
        <v/>
      </c>
      <c r="O186" s="397">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4">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5">
        <f t="array" ref="V186">IFERROR(INDEX(IM!$AM$2:$AM$9382, MATCH(1, (IM!$F$2:$F$9382=A186) * (ISNUMBER(SEARCH($F$1, IM!$AC$2:$AC$9382))), 0)), "")</f>
        <v/>
      </c>
      <c r="W186" s="228">
        <f>IF(AND(AA186&lt;&gt;"", AB186&lt;&gt;""), 2, IF(OR(AA186&lt;&gt;"", AB186&lt;&gt;""), 1, 0))</f>
        <v/>
      </c>
      <c r="X186" s="228" t="n"/>
      <c r="Y186" s="390">
        <f>IF(OR(S186="STAR", W186="", X186=""), W186,
"總數：" &amp; W186 &amp; CHAR(10) &amp;
"已維修：" &amp; X186 &amp; CHAR(10) &amp;
"未更換：" &amp; (W186 - X186))</f>
        <v/>
      </c>
      <c r="Z186" s="221">
        <f>IF(VLOOKUP(A186,'0919門市清單主檔'!B:AC,28,FALSE)=0,"",VLOOKUP(A186,'0919門市清單主檔'!B:AC,28,FALSE))</f>
        <v/>
      </c>
      <c r="AA186" s="326" t="n"/>
      <c r="AB186" s="167" t="n"/>
      <c r="AC186" s="167" t="n"/>
    </row>
    <row r="187" ht="21.6" customHeight="1" s="105">
      <c r="A187" s="128" t="n">
        <v>5101</v>
      </c>
      <c r="B187" s="129">
        <f>VLOOKUP(A187,'0919門市清單主檔'!B:C,2,FALSE)</f>
        <v/>
      </c>
      <c r="C187" s="130">
        <f>VLOOKUP($A187,'0919門市清單主檔'!B:V,20,FALSE)</f>
        <v/>
      </c>
      <c r="D187" s="131">
        <f>VLOOKUP($A187,'0919門市清單主檔'!B:V,21,FALSE)</f>
        <v/>
      </c>
      <c r="E187" s="280">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4">
        <f t="array" ref="J187">IFERROR(INDEX(IM!$AM$2:$AM$9333, MATCH(1, (IM!$F$2:$F$9333=A187) * (ISNUMBER(SEARCH($C$1, IM!$AC$2:$AC$9333))), 0)), "")</f>
        <v/>
      </c>
      <c r="K187" s="316">
        <f t="array" ref="K187">SUMPRODUCT((IM!$F$2:$F$9181=A187)*(IM!$AD$2:$AD$9181="O")*(ISNUMBER(SEARCH($C$1, IM!$AC$2:$AC$9181))))</f>
        <v/>
      </c>
      <c r="L187" s="330">
        <f t="array" ref="L187">IF(K187&gt;0,IFERROR(HYPERLINK("#'IM'!AC"&amp;MATCH(1,(IM!$F$1:$F$6881=A187)*(ISNUMBER(SEARCH($C$1,IM!$AC$1:$AC$6881))),0),"檢核"),"未登錄"),"")</f>
        <v/>
      </c>
      <c r="M187" s="394">
        <f>Q187&amp;IF(AND(S187&lt;&gt;"",AND(Q187&lt;&gt;"")),$P$2,"")&amp;S187&amp;IF(U187&lt;&gt;"",$P$2,"")&amp;U187</f>
        <v/>
      </c>
      <c r="N187" s="283">
        <f t="array" ref="N187">IF(AND(
    SUMPRODUCT(
        (IM!$F$2:$F$1181=A187) *
        ISNUMBER(SEARCH("*HUB*", IM!$AC$2:$AC$1181)) *
        (IM!$X$2:$X$1181&gt;=$A$1) *
        (IM!$X$2:$X$1181&lt;=$B$1)*(Z187="HUB")
    ) &gt; 0
), "HUB", "")</f>
        <v/>
      </c>
      <c r="O187" s="397">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4">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5">
        <f t="array" ref="V187">IFERROR(INDEX(IM!$AM$2:$AM$9382, MATCH(1, (IM!$F$2:$F$9382=A187) * (ISNUMBER(SEARCH($F$1, IM!$AC$2:$AC$9382))), 0)), "")</f>
        <v/>
      </c>
      <c r="W187" s="228">
        <f>IF(AND(AA187&lt;&gt;"", AB187&lt;&gt;""), 2, IF(OR(AA187&lt;&gt;"", AB187&lt;&gt;""), 1, 0))</f>
        <v/>
      </c>
      <c r="X187" s="228" t="n"/>
      <c r="Y187" s="390">
        <f>IF(OR(S187="STAR", W187="", X187=""), W187,
"總數：" &amp; W187 &amp; CHAR(10) &amp;
"已維修：" &amp; X187 &amp; CHAR(10) &amp;
"未更換：" &amp; (W187 - X187))</f>
        <v/>
      </c>
      <c r="Z187" s="221">
        <f>IF(VLOOKUP(A187,'0919門市清單主檔'!B:AC,28,FALSE)=0,"",VLOOKUP(A187,'0919門市清單主檔'!B:AC,28,FALSE))</f>
        <v/>
      </c>
      <c r="AA187" s="326" t="n"/>
      <c r="AB187" s="167" t="n"/>
      <c r="AC187" s="167" t="n"/>
    </row>
    <row r="188" ht="21.6" customHeight="1" s="105">
      <c r="A188" s="128" t="n">
        <v>4298</v>
      </c>
      <c r="B188" s="129">
        <f>VLOOKUP(A188,'0919門市清單主檔'!B:C,2,FALSE)</f>
        <v/>
      </c>
      <c r="C188" s="130">
        <f>VLOOKUP($A188,'0919門市清單主檔'!B:V,20,FALSE)</f>
        <v/>
      </c>
      <c r="D188" s="131">
        <f>VLOOKUP($A188,'0919門市清單主檔'!B:V,21,FALSE)</f>
        <v/>
      </c>
      <c r="E188" s="280">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4">
        <f t="array" ref="J188">IFERROR(INDEX(IM!$AM$2:$AM$9333, MATCH(1, (IM!$F$2:$F$9333=A188) * (ISNUMBER(SEARCH($C$1, IM!$AC$2:$AC$9333))), 0)), "")</f>
        <v/>
      </c>
      <c r="K188" s="316">
        <f t="array" ref="K188">SUMPRODUCT((IM!$F$2:$F$9181=A188)*(IM!$AD$2:$AD$9181="O")*(ISNUMBER(SEARCH($C$1, IM!$AC$2:$AC$9181))))</f>
        <v/>
      </c>
      <c r="L188" s="330">
        <f t="array" ref="L188">IF(K188&gt;0,IFERROR(HYPERLINK("#'IM'!AC"&amp;MATCH(1,(IM!$F$1:$F$6881=A188)*(ISNUMBER(SEARCH($C$1,IM!$AC$1:$AC$6881))),0),"檢核"),"未登錄"),"")</f>
        <v/>
      </c>
      <c r="M188" s="394">
        <f>Q188&amp;IF(AND(S188&lt;&gt;"",AND(Q188&lt;&gt;"")),$P$2,"")&amp;S188&amp;IF(U188&lt;&gt;"",$P$2,"")&amp;U188</f>
        <v/>
      </c>
      <c r="N188" s="283">
        <f t="array" ref="N188">IF(AND(
    SUMPRODUCT(
        (IM!$F$2:$F$1181=A188) *
        ISNUMBER(SEARCH("*HUB*", IM!$AC$2:$AC$1181)) *
        (IM!$X$2:$X$1181&gt;=$A$1) *
        (IM!$X$2:$X$1181&lt;=$B$1)*(Z188="HUB")
    ) &gt; 0
), "HUB", "")</f>
        <v/>
      </c>
      <c r="O188" s="397">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4">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5">
        <f t="array" ref="V188">IFERROR(INDEX(IM!$AM$2:$AM$9382, MATCH(1, (IM!$F$2:$F$9382=A188) * (ISNUMBER(SEARCH($F$1, IM!$AC$2:$AC$9382))), 0)), "")</f>
        <v/>
      </c>
      <c r="W188" s="228">
        <f>IF(AND(AA188&lt;&gt;"", AB188&lt;&gt;""), 2, IF(OR(AA188&lt;&gt;"", AB188&lt;&gt;""), 1, 0))</f>
        <v/>
      </c>
      <c r="X188" s="228" t="n"/>
      <c r="Y188" s="390">
        <f>IF(OR(S188="STAR", W188="", X188=""), W188,
"總數：" &amp; W188 &amp; CHAR(10) &amp;
"已維修：" &amp; X188 &amp; CHAR(10) &amp;
"未更換：" &amp; (W188 - X188))</f>
        <v/>
      </c>
      <c r="Z188" s="221">
        <f>IF(VLOOKUP(A188,'0919門市清單主檔'!B:AC,28,FALSE)=0,"",VLOOKUP(A188,'0919門市清單主檔'!B:AC,28,FALSE))</f>
        <v/>
      </c>
      <c r="AA188" s="326" t="n"/>
      <c r="AB188" s="167" t="n"/>
      <c r="AC188" s="167" t="inlineStr">
        <is>
          <t>STAR</t>
        </is>
      </c>
    </row>
    <row r="189" ht="21.6" customHeight="1" s="105">
      <c r="A189" s="128" t="n">
        <v>4658</v>
      </c>
      <c r="B189" s="129">
        <f>VLOOKUP(A189,'0919門市清單主檔'!B:C,2,FALSE)</f>
        <v/>
      </c>
      <c r="C189" s="130">
        <f>VLOOKUP($A189,'0919門市清單主檔'!B:V,20,FALSE)</f>
        <v/>
      </c>
      <c r="D189" s="131">
        <f>VLOOKUP($A189,'0919門市清單主檔'!B:V,21,FALSE)</f>
        <v/>
      </c>
      <c r="E189" s="280">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4">
        <f t="array" ref="J189">IFERROR(INDEX(IM!$AM$2:$AM$9333, MATCH(1, (IM!$F$2:$F$9333=A189) * (ISNUMBER(SEARCH($C$1, IM!$AC$2:$AC$9333))), 0)), "")</f>
        <v/>
      </c>
      <c r="K189" s="316">
        <f t="array" ref="K189">SUMPRODUCT((IM!$F$2:$F$9181=A189)*(IM!$AD$2:$AD$9181="O")*(ISNUMBER(SEARCH($C$1, IM!$AC$2:$AC$9181))))</f>
        <v/>
      </c>
      <c r="L189" s="330">
        <f t="array" ref="L189">IF(K189&gt;0,IFERROR(HYPERLINK("#'IM'!AC"&amp;MATCH(1,(IM!$F$1:$F$6881=A189)*(ISNUMBER(SEARCH($C$1,IM!$AC$1:$AC$6881))),0),"檢核"),"未登錄"),"")</f>
        <v/>
      </c>
      <c r="M189" s="394">
        <f>Q189&amp;IF(AND(S189&lt;&gt;"",AND(Q189&lt;&gt;"")),$P$2,"")&amp;S189&amp;IF(U189&lt;&gt;"",$P$2,"")&amp;U189</f>
        <v/>
      </c>
      <c r="N189" s="283">
        <f t="array" ref="N189">IF(AND(
    SUMPRODUCT(
        (IM!$F$2:$F$1181=A189) *
        ISNUMBER(SEARCH("*HUB*", IM!$AC$2:$AC$1181)) *
        (IM!$X$2:$X$1181&gt;=$A$1) *
        (IM!$X$2:$X$1181&lt;=$B$1)*(Z189="HUB")
    ) &gt; 0
), "HUB", "")</f>
        <v/>
      </c>
      <c r="O189" s="397">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4">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5">
        <f t="array" ref="V189">IFERROR(INDEX(IM!$AM$2:$AM$9382, MATCH(1, (IM!$F$2:$F$9382=A189) * (ISNUMBER(SEARCH($F$1, IM!$AC$2:$AC$9382))), 0)), "")</f>
        <v/>
      </c>
      <c r="W189" s="228">
        <f>IF(AND(AA189&lt;&gt;"", AB189&lt;&gt;""), 2, IF(OR(AA189&lt;&gt;"", AB189&lt;&gt;""), 1, 0))</f>
        <v/>
      </c>
      <c r="X189" s="228" t="n"/>
      <c r="Y189" s="390">
        <f>IF(OR(S189="STAR", W189="", X189=""), W189,
"總數：" &amp; W189 &amp; CHAR(10) &amp;
"已維修：" &amp; X189 &amp; CHAR(10) &amp;
"未更換：" &amp; (W189 - X189))</f>
        <v/>
      </c>
      <c r="Z189" s="221">
        <f>IF(VLOOKUP(A189,'0919門市清單主檔'!B:AC,28,FALSE)=0,"",VLOOKUP(A189,'0919門市清單主檔'!B:AC,28,FALSE))</f>
        <v/>
      </c>
      <c r="AA189" s="326" t="n"/>
      <c r="AB189" s="167" t="n"/>
      <c r="AC189" s="167" t="n"/>
    </row>
    <row r="190" ht="21.6" customHeight="1" s="105">
      <c r="A190" s="128" t="n">
        <v>4788</v>
      </c>
      <c r="B190" s="129">
        <f>VLOOKUP(A190,'0919門市清單主檔'!B:C,2,FALSE)</f>
        <v/>
      </c>
      <c r="C190" s="130">
        <f>VLOOKUP($A190,'0919門市清單主檔'!B:V,20,FALSE)</f>
        <v/>
      </c>
      <c r="D190" s="131">
        <f>VLOOKUP($A190,'0919門市清單主檔'!B:V,21,FALSE)</f>
        <v/>
      </c>
      <c r="E190" s="280">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4">
        <f t="array" ref="J190">IFERROR(INDEX(IM!$AM$2:$AM$9333, MATCH(1, (IM!$F$2:$F$9333=A190) * (ISNUMBER(SEARCH($C$1, IM!$AC$2:$AC$9333))), 0)), "")</f>
        <v/>
      </c>
      <c r="K190" s="316">
        <f t="array" ref="K190">SUMPRODUCT((IM!$F$2:$F$9181=A190)*(IM!$AD$2:$AD$9181="O")*(ISNUMBER(SEARCH($C$1, IM!$AC$2:$AC$9181))))</f>
        <v/>
      </c>
      <c r="L190" s="330">
        <f t="array" ref="L190">IF(K190&gt;0,IFERROR(HYPERLINK("#'IM'!AC"&amp;MATCH(1,(IM!$F$1:$F$6881=A190)*(ISNUMBER(SEARCH($C$1,IM!$AC$1:$AC$6881))),0),"檢核"),"未登錄"),"")</f>
        <v/>
      </c>
      <c r="M190" s="394">
        <f>Q190&amp;IF(AND(S190&lt;&gt;"",AND(Q190&lt;&gt;"")),$P$2,"")&amp;S190&amp;IF(U190&lt;&gt;"",$P$2,"")&amp;U190</f>
        <v/>
      </c>
      <c r="N190" s="283">
        <f t="array" ref="N190">IF(AND(
    SUMPRODUCT(
        (IM!$F$2:$F$1181=A190) *
        ISNUMBER(SEARCH("*HUB*", IM!$AC$2:$AC$1181)) *
        (IM!$X$2:$X$1181&gt;=$A$1) *
        (IM!$X$2:$X$1181&lt;=$B$1)*(Z190="HUB")
    ) &gt; 0
), "HUB", "")</f>
        <v/>
      </c>
      <c r="O190" s="397">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4">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5">
        <f t="array" ref="V190">IFERROR(INDEX(IM!$AM$2:$AM$9382, MATCH(1, (IM!$F$2:$F$9382=A190) * (ISNUMBER(SEARCH($F$1, IM!$AC$2:$AC$9382))), 0)), "")</f>
        <v/>
      </c>
      <c r="W190" s="228">
        <f>IF(AND(AA190&lt;&gt;"", AB190&lt;&gt;""), 2, IF(OR(AA190&lt;&gt;"", AB190&lt;&gt;""), 1, 0))</f>
        <v/>
      </c>
      <c r="X190" s="228" t="n"/>
      <c r="Y190" s="390">
        <f>IF(OR(S190="STAR", W190="", X190=""), W190,
"總數：" &amp; W190 &amp; CHAR(10) &amp;
"已維修：" &amp; X190 &amp; CHAR(10) &amp;
"未更換：" &amp; (W190 - X190))</f>
        <v/>
      </c>
      <c r="Z190" s="221">
        <f>IF(VLOOKUP(A190,'0919門市清單主檔'!B:AC,28,FALSE)=0,"",VLOOKUP(A190,'0919門市清單主檔'!B:AC,28,FALSE))</f>
        <v/>
      </c>
      <c r="AA190" s="326" t="n"/>
      <c r="AB190" s="167" t="n"/>
      <c r="AC190" s="167" t="inlineStr">
        <is>
          <t>STAR</t>
        </is>
      </c>
    </row>
    <row r="191" ht="21.6" customHeight="1" s="105">
      <c r="A191" s="128" t="n">
        <v>3818</v>
      </c>
      <c r="B191" s="129">
        <f>VLOOKUP(A191,'0919門市清單主檔'!B:C,2,FALSE)</f>
        <v/>
      </c>
      <c r="C191" s="130">
        <f>VLOOKUP($A191,'0919門市清單主檔'!B:V,20,FALSE)</f>
        <v/>
      </c>
      <c r="D191" s="131">
        <f>VLOOKUP($A191,'0919門市清單主檔'!B:V,21,FALSE)</f>
        <v/>
      </c>
      <c r="E191" s="280">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4">
        <f t="array" ref="J191">IFERROR(INDEX(IM!$AM$2:$AM$9333, MATCH(1, (IM!$F$2:$F$9333=A191) * (ISNUMBER(SEARCH($C$1, IM!$AC$2:$AC$9333))), 0)), "")</f>
        <v/>
      </c>
      <c r="K191" s="316">
        <f t="array" ref="K191">SUMPRODUCT((IM!$F$2:$F$9181=A191)*(IM!$AD$2:$AD$9181="O")*(ISNUMBER(SEARCH($C$1, IM!$AC$2:$AC$9181))))</f>
        <v/>
      </c>
      <c r="L191" s="330">
        <f t="array" ref="L191">IF(K191&gt;0,IFERROR(HYPERLINK("#'IM'!AC"&amp;MATCH(1,(IM!$F$1:$F$6881=A191)*(ISNUMBER(SEARCH($C$1,IM!$AC$1:$AC$6881))),0),"檢核"),"未登錄"),"")</f>
        <v/>
      </c>
      <c r="M191" s="394">
        <f>Q191&amp;IF(AND(S191&lt;&gt;"",AND(Q191&lt;&gt;"")),$P$2,"")&amp;S191&amp;IF(U191&lt;&gt;"",$P$2,"")&amp;U191</f>
        <v/>
      </c>
      <c r="N191" s="283">
        <f t="array" ref="N191">IF(AND(
    SUMPRODUCT(
        (IM!$F$2:$F$1181=A191) *
        ISNUMBER(SEARCH("*HUB*", IM!$AC$2:$AC$1181)) *
        (IM!$X$2:$X$1181&gt;=$A$1) *
        (IM!$X$2:$X$1181&lt;=$B$1)*(Z191="HUB")
    ) &gt; 0
), "HUB", "")</f>
        <v/>
      </c>
      <c r="O191" s="397">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4">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5">
        <f t="array" ref="V191">IFERROR(INDEX(IM!$AM$2:$AM$9382, MATCH(1, (IM!$F$2:$F$9382=A191) * (ISNUMBER(SEARCH($F$1, IM!$AC$2:$AC$9382))), 0)), "")</f>
        <v/>
      </c>
      <c r="W191" s="228">
        <f>IF(AND(AA191&lt;&gt;"", AB191&lt;&gt;""), 2, IF(OR(AA191&lt;&gt;"", AB191&lt;&gt;""), 1, 0))</f>
        <v/>
      </c>
      <c r="X191" s="228" t="n"/>
      <c r="Y191" s="390">
        <f>IF(OR(S191="STAR", W191="", X191=""), W191,
"總數：" &amp; W191 &amp; CHAR(10) &amp;
"已維修：" &amp; X191 &amp; CHAR(10) &amp;
"未更換：" &amp; (W191 - X191))</f>
        <v/>
      </c>
      <c r="Z191" s="221">
        <f>IF(VLOOKUP(A191,'0919門市清單主檔'!B:AC,28,FALSE)=0,"",VLOOKUP(A191,'0919門市清單主檔'!B:AC,28,FALSE))</f>
        <v/>
      </c>
      <c r="AA191" s="326" t="n"/>
      <c r="AB191" s="167" t="n"/>
      <c r="AC191" s="167" t="inlineStr">
        <is>
          <t>STAR</t>
        </is>
      </c>
    </row>
    <row r="192" ht="21.6" customHeight="1" s="105">
      <c r="A192" s="128" t="n">
        <v>2422</v>
      </c>
      <c r="B192" s="129">
        <f>VLOOKUP(A192,'0919門市清單主檔'!B:C,2,FALSE)</f>
        <v/>
      </c>
      <c r="C192" s="130">
        <f>VLOOKUP($A192,'0919門市清單主檔'!B:V,20,FALSE)</f>
        <v/>
      </c>
      <c r="D192" s="131">
        <f>VLOOKUP($A192,'0919門市清單主檔'!B:V,21,FALSE)</f>
        <v/>
      </c>
      <c r="E192" s="280">
        <f>VLOOKUP(D192,門市狀態!G:H,2,FALSE)</f>
        <v/>
      </c>
      <c r="F192" s="132">
        <f>IFERROR(IF(VLOOKUP(A192,門市狀態!A:D,4,FALSE)=0,"",VLOOKUP(A192,門市狀態!A:D,4,FALSE)),"")</f>
        <v/>
      </c>
      <c r="G192" s="133" t="n"/>
      <c r="H192" s="134">
        <f>IF(I192&gt;0,(TEXT(I192,"yyyymmdd")&amp;$T$2&amp;A192&amp;$T$2&amp;B192&amp;$Q$2),"")</f>
        <v/>
      </c>
      <c r="I192" s="136">
        <f t="array" ref="I192">IF(AND(SUMPRODUCT((IM!$F$2:$F$1181=A192)*(ISNUMBER(SEARCH($C$1, IM!$AC$2:$AC$1181))))&gt;0), $C$1, "")</f>
        <v/>
      </c>
      <c r="J192" s="314">
        <f t="array" ref="J192">IFERROR(INDEX(IM!$AM$2:$AM$9333, MATCH(1, (IM!$F$2:$F$9333=A192) * (ISNUMBER(SEARCH($C$1, IM!$AC$2:$AC$9333))), 0)), "")</f>
        <v/>
      </c>
      <c r="K192" s="316">
        <f t="array" ref="K192">SUMPRODUCT((IM!$F$2:$F$9181=A192)*(IM!$AD$2:$AD$9181="O")*(ISNUMBER(SEARCH($C$1, IM!$AC$2:$AC$9181))))</f>
        <v/>
      </c>
      <c r="L192" s="330">
        <f t="array" ref="L192">IF(K192&gt;0,IFERROR(HYPERLINK("#'IM'!AC"&amp;MATCH(1,(IM!$F$1:$F$6881=A192)*(ISNUMBER(SEARCH($C$1,IM!$AC$1:$AC$6881))),0),"檢核"),"未登錄"),"")</f>
        <v/>
      </c>
      <c r="M192" s="394">
        <f>Q192&amp;IF(AND(S192&lt;&gt;"",AND(Q192&lt;&gt;"")),$P$2,"")&amp;S192&amp;IF(U192&lt;&gt;"",$P$2,"")&amp;U192</f>
        <v/>
      </c>
      <c r="N192" s="283">
        <f t="array" ref="N192">IF(AND(
    SUMPRODUCT(
        (IM!$F$2:$F$1181=A192) *
        ISNUMBER(SEARCH("*HUB*", IM!$AC$2:$AC$1181)) *
        (IM!$X$2:$X$1181&gt;=$A$1) *
        (IM!$X$2:$X$1181&lt;=$B$1)*(Z192="HUB")
    ) &gt; 0
), "HUB", "")</f>
        <v/>
      </c>
      <c r="O192" s="397">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4">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5">
        <f t="array" ref="V192">IFERROR(INDEX(IM!$AM$2:$AM$9382, MATCH(1, (IM!$F$2:$F$9382=A192) * (ISNUMBER(SEARCH($F$1, IM!$AC$2:$AC$9382))), 0)), "")</f>
        <v/>
      </c>
      <c r="W192" s="228">
        <f>IF(AND(AA192&lt;&gt;"", AB192&lt;&gt;""), 2, IF(OR(AA192&lt;&gt;"", AB192&lt;&gt;""), 1, 0))</f>
        <v/>
      </c>
      <c r="X192" s="228" t="n"/>
      <c r="Y192" s="390">
        <f>IF(OR(S192="STAR", W192="", X192=""), W192,
"總數：" &amp; W192 &amp; CHAR(10) &amp;
"已維修：" &amp; X192 &amp; CHAR(10) &amp;
"未更換：" &amp; (W192 - X192))</f>
        <v/>
      </c>
      <c r="Z192" s="221">
        <f>IF(VLOOKUP(A192,'0919門市清單主檔'!B:AC,28,FALSE)=0,"",VLOOKUP(A192,'0919門市清單主檔'!B:AC,28,FALSE))</f>
        <v/>
      </c>
      <c r="AA192" s="326" t="n"/>
      <c r="AB192" s="167" t="n"/>
      <c r="AC192" s="167" t="inlineStr">
        <is>
          <t>STAR</t>
        </is>
      </c>
    </row>
    <row r="193" ht="21.6" customHeight="1" s="105">
      <c r="A193" s="128" t="n">
        <v>2403</v>
      </c>
      <c r="B193" s="129">
        <f>VLOOKUP(A193,'0919門市清單主檔'!B:C,2,FALSE)</f>
        <v/>
      </c>
      <c r="C193" s="130">
        <f>VLOOKUP($A193,'0919門市清單主檔'!B:V,20,FALSE)</f>
        <v/>
      </c>
      <c r="D193" s="131">
        <f>VLOOKUP($A193,'0919門市清單主檔'!B:V,21,FALSE)</f>
        <v/>
      </c>
      <c r="E193" s="280">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4">
        <f t="array" ref="J193">IFERROR(INDEX(IM!$AM$2:$AM$9333, MATCH(1, (IM!$F$2:$F$9333=A193) * (ISNUMBER(SEARCH($C$1, IM!$AC$2:$AC$9333))), 0)), "")</f>
        <v/>
      </c>
      <c r="K193" s="316">
        <f t="array" ref="K193">SUMPRODUCT((IM!$F$2:$F$9181=A193)*(IM!$AD$2:$AD$9181="O")*(ISNUMBER(SEARCH($C$1, IM!$AC$2:$AC$9181))))</f>
        <v/>
      </c>
      <c r="L193" s="330">
        <f t="array" ref="L193">IF(K193&gt;0,IFERROR(HYPERLINK("#'IM'!AC"&amp;MATCH(1,(IM!$F$1:$F$6881=A193)*(ISNUMBER(SEARCH($C$1,IM!$AC$1:$AC$6881))),0),"檢核"),"未登錄"),"")</f>
        <v/>
      </c>
      <c r="M193" s="394">
        <f>Q193&amp;IF(AND(S193&lt;&gt;"",AND(Q193&lt;&gt;"")),$P$2,"")&amp;S193&amp;IF(U193&lt;&gt;"",$P$2,"")&amp;U193</f>
        <v/>
      </c>
      <c r="N193" s="283">
        <f t="array" ref="N193">IF(AND(
    SUMPRODUCT(
        (IM!$F$2:$F$1181=A193) *
        ISNUMBER(SEARCH("*HUB*", IM!$AC$2:$AC$1181)) *
        (IM!$X$2:$X$1181&gt;=$A$1) *
        (IM!$X$2:$X$1181&lt;=$B$1)*(Z193="HUB")
    ) &gt; 0
), "HUB", "")</f>
        <v/>
      </c>
      <c r="O193" s="397">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4">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5">
        <f t="array" ref="V193">IFERROR(INDEX(IM!$AM$2:$AM$9382, MATCH(1, (IM!$F$2:$F$9382=A193) * (ISNUMBER(SEARCH($F$1, IM!$AC$2:$AC$9382))), 0)), "")</f>
        <v/>
      </c>
      <c r="W193" s="228">
        <f>IF(AND(AA193&lt;&gt;"", AB193&lt;&gt;""), 2, IF(OR(AA193&lt;&gt;"", AB193&lt;&gt;""), 1, 0))</f>
        <v/>
      </c>
      <c r="X193" s="228" t="n"/>
      <c r="Y193" s="390">
        <f>IF(OR(S193="STAR", W193="", X193=""), W193,
"總數：" &amp; W193 &amp; CHAR(10) &amp;
"已維修：" &amp; X193 &amp; CHAR(10) &amp;
"未更換：" &amp; (W193 - X193))</f>
        <v/>
      </c>
      <c r="Z193" s="221">
        <f>IF(VLOOKUP(A193,'0919門市清單主檔'!B:AC,28,FALSE)=0,"",VLOOKUP(A193,'0919門市清單主檔'!B:AC,28,FALSE))</f>
        <v/>
      </c>
      <c r="AA193" s="326" t="n"/>
      <c r="AB193" s="167" t="n"/>
      <c r="AC193" s="167" t="inlineStr">
        <is>
          <t>STAR</t>
        </is>
      </c>
    </row>
    <row r="194" ht="21.6" customHeight="1" s="105">
      <c r="A194" s="128" t="inlineStr">
        <is>
          <t>D609</t>
        </is>
      </c>
      <c r="B194" s="129">
        <f>VLOOKUP(A194,'0919門市清單主檔'!B:C,2,FALSE)</f>
        <v/>
      </c>
      <c r="C194" s="130">
        <f>VLOOKUP($A194,'0919門市清單主檔'!B:V,20,FALSE)</f>
        <v/>
      </c>
      <c r="D194" s="131">
        <f>VLOOKUP($A194,'0919門市清單主檔'!B:V,21,FALSE)</f>
        <v/>
      </c>
      <c r="E194" s="280">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4">
        <f t="array" ref="J194">IFERROR(INDEX(IM!$AM$2:$AM$9333, MATCH(1, (IM!$F$2:$F$9333=A194) * (ISNUMBER(SEARCH($C$1, IM!$AC$2:$AC$9333))), 0)), "")</f>
        <v/>
      </c>
      <c r="K194" s="316">
        <f t="array" ref="K194">SUMPRODUCT((IM!$F$2:$F$9181=A194)*(IM!$AD$2:$AD$9181="O")*(ISNUMBER(SEARCH($C$1, IM!$AC$2:$AC$9181))))</f>
        <v/>
      </c>
      <c r="L194" s="330">
        <f t="array" ref="L194">IF(K194&gt;0,IFERROR(HYPERLINK("#'IM'!AC"&amp;MATCH(1,(IM!$F$1:$F$6881=A194)*(ISNUMBER(SEARCH($C$1,IM!$AC$1:$AC$6881))),0),"檢核"),"未登錄"),"")</f>
        <v/>
      </c>
      <c r="M194" s="394">
        <f>Q194&amp;IF(AND(S194&lt;&gt;"",AND(Q194&lt;&gt;"")),$P$2,"")&amp;S194&amp;IF(U194&lt;&gt;"",$P$2,"")&amp;U194</f>
        <v/>
      </c>
      <c r="N194" s="283">
        <f t="array" ref="N194">IF(AND(
    SUMPRODUCT(
        (IM!$F$2:$F$1181=A194) *
        ISNUMBER(SEARCH("*HUB*", IM!$AC$2:$AC$1181)) *
        (IM!$X$2:$X$1181&gt;=$A$1) *
        (IM!$X$2:$X$1181&lt;=$B$1)*(Z194="HUB")
    ) &gt; 0
), "HUB", "")</f>
        <v/>
      </c>
      <c r="O194" s="397">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4">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5">
        <f t="array" ref="V194">IFERROR(INDEX(IM!$AM$2:$AM$9382, MATCH(1, (IM!$F$2:$F$9382=A194) * (ISNUMBER(SEARCH($F$1, IM!$AC$2:$AC$9382))), 0)), "")</f>
        <v/>
      </c>
      <c r="W194" s="228">
        <f>IF(AND(AA194&lt;&gt;"", AB194&lt;&gt;""), 2, IF(OR(AA194&lt;&gt;"", AB194&lt;&gt;""), 1, 0))</f>
        <v/>
      </c>
      <c r="X194" s="228" t="n"/>
      <c r="Y194" s="390">
        <f>IF(OR(S194="STAR", W194="", X194=""), W194,
"總數：" &amp; W194 &amp; CHAR(10) &amp;
"已維修：" &amp; X194 &amp; CHAR(10) &amp;
"未更換：" &amp; (W194 - X194))</f>
        <v/>
      </c>
      <c r="Z194" s="221">
        <f>IF(VLOOKUP(A194,'0919門市清單主檔'!B:AC,28,FALSE)=0,"",VLOOKUP(A194,'0919門市清單主檔'!B:AC,28,FALSE))</f>
        <v/>
      </c>
      <c r="AA194" s="326" t="n"/>
      <c r="AB194" s="167" t="n"/>
      <c r="AC194" s="167" t="inlineStr">
        <is>
          <t>STAR</t>
        </is>
      </c>
    </row>
    <row r="195" ht="21.6" customHeight="1" s="105">
      <c r="A195" s="128" t="n">
        <v>4422</v>
      </c>
      <c r="B195" s="129">
        <f>VLOOKUP(A195,'0919門市清單主檔'!B:C,2,FALSE)</f>
        <v/>
      </c>
      <c r="C195" s="130">
        <f>VLOOKUP($A195,'0919門市清單主檔'!B:V,20,FALSE)</f>
        <v/>
      </c>
      <c r="D195" s="131">
        <f>VLOOKUP($A195,'0919門市清單主檔'!B:V,21,FALSE)</f>
        <v/>
      </c>
      <c r="E195" s="280">
        <f>VLOOKUP(D195,門市狀態!G:H,2,FALSE)</f>
        <v/>
      </c>
      <c r="F195" s="132">
        <f>IFERROR(IF(VLOOKUP(A195,門市狀態!A:D,4,FALSE)=0,"",VLOOKUP(A195,門市狀態!A:D,4,FALSE)),"")</f>
        <v/>
      </c>
      <c r="G195" s="133" t="n"/>
      <c r="H195" s="134">
        <f>IF(I195&gt;0,(TEXT(I195,"yyyymmdd")&amp;$T$2&amp;A195&amp;$T$2&amp;B195&amp;$Q$2),"")</f>
        <v/>
      </c>
      <c r="I195" s="136">
        <f t="array" ref="I195">IF(AND(SUMPRODUCT((IM!$F$2:$F$1181=A195)*(ISNUMBER(SEARCH($C$1, IM!$AC$2:$AC$1181))))&gt;0), $C$1, "")</f>
        <v/>
      </c>
      <c r="J195" s="314">
        <f t="array" ref="J195">IFERROR(INDEX(IM!$AM$2:$AM$9333, MATCH(1, (IM!$F$2:$F$9333=A195) * (ISNUMBER(SEARCH($C$1, IM!$AC$2:$AC$9333))), 0)), "")</f>
        <v/>
      </c>
      <c r="K195" s="316">
        <f t="array" ref="K195">SUMPRODUCT((IM!$F$2:$F$9181=A195)*(IM!$AD$2:$AD$9181="O")*(ISNUMBER(SEARCH($C$1, IM!$AC$2:$AC$9181))))</f>
        <v/>
      </c>
      <c r="L195" s="330">
        <f t="array" ref="L195">IF(K195&gt;0,IFERROR(HYPERLINK("#'IM'!AC"&amp;MATCH(1,(IM!$F$1:$F$6881=A195)*(ISNUMBER(SEARCH($C$1,IM!$AC$1:$AC$6881))),0),"檢核"),"未登錄"),"")</f>
        <v/>
      </c>
      <c r="M195" s="394">
        <f>Q195&amp;IF(AND(S195&lt;&gt;"",AND(Q195&lt;&gt;"")),$P$2,"")&amp;S195&amp;IF(U195&lt;&gt;"",$P$2,"")&amp;U195</f>
        <v/>
      </c>
      <c r="N195" s="283">
        <f t="array" ref="N195">IF(AND(
    SUMPRODUCT(
        (IM!$F$2:$F$1181=A195) *
        ISNUMBER(SEARCH("*HUB*", IM!$AC$2:$AC$1181)) *
        (IM!$X$2:$X$1181&gt;=$A$1) *
        (IM!$X$2:$X$1181&lt;=$B$1)*(Z195="HUB")
    ) &gt; 0
), "HUB", "")</f>
        <v/>
      </c>
      <c r="O195" s="397">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4">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5">
        <f t="array" ref="V195">IFERROR(INDEX(IM!$AM$2:$AM$9382, MATCH(1, (IM!$F$2:$F$9382=A195) * (ISNUMBER(SEARCH($F$1, IM!$AC$2:$AC$9382))), 0)), "")</f>
        <v/>
      </c>
      <c r="W195" s="228">
        <f>IF(AND(AA195&lt;&gt;"", AB195&lt;&gt;""), 2, IF(OR(AA195&lt;&gt;"", AB195&lt;&gt;""), 1, 0))</f>
        <v/>
      </c>
      <c r="X195" s="228" t="n"/>
      <c r="Y195" s="390">
        <f>IF(OR(S195="STAR", W195="", X195=""), W195,
"總數：" &amp; W195 &amp; CHAR(10) &amp;
"已維修：" &amp; X195 &amp; CHAR(10) &amp;
"未更換：" &amp; (W195 - X195))</f>
        <v/>
      </c>
      <c r="Z195" s="221">
        <f>IF(VLOOKUP(A195,'0919門市清單主檔'!B:AC,28,FALSE)=0,"",VLOOKUP(A195,'0919門市清單主檔'!B:AC,28,FALSE))</f>
        <v/>
      </c>
      <c r="AA195" s="326" t="n"/>
      <c r="AB195" s="167" t="n"/>
      <c r="AC195" s="167" t="n"/>
    </row>
    <row r="196" ht="21.6" customHeight="1" s="105">
      <c r="A196" s="128" t="inlineStr">
        <is>
          <t>D161</t>
        </is>
      </c>
      <c r="B196" s="129">
        <f>VLOOKUP(A196,'0919門市清單主檔'!B:C,2,FALSE)</f>
        <v/>
      </c>
      <c r="C196" s="130">
        <f>VLOOKUP($A196,'0919門市清單主檔'!B:V,20,FALSE)</f>
        <v/>
      </c>
      <c r="D196" s="131">
        <f>VLOOKUP($A196,'0919門市清單主檔'!B:V,21,FALSE)</f>
        <v/>
      </c>
      <c r="E196" s="280">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4">
        <f t="array" ref="J196">IFERROR(INDEX(IM!$AM$2:$AM$9333, MATCH(1, (IM!$F$2:$F$9333=A196) * (ISNUMBER(SEARCH($C$1, IM!$AC$2:$AC$9333))), 0)), "")</f>
        <v/>
      </c>
      <c r="K196" s="316">
        <f t="array" ref="K196">SUMPRODUCT((IM!$F$2:$F$9181=A196)*(IM!$AD$2:$AD$9181="O")*(ISNUMBER(SEARCH($C$1, IM!$AC$2:$AC$9181))))</f>
        <v/>
      </c>
      <c r="L196" s="330">
        <f t="array" ref="L196">IF(K196&gt;0,IFERROR(HYPERLINK("#'IM'!AC"&amp;MATCH(1,(IM!$F$1:$F$6881=A196)*(ISNUMBER(SEARCH($C$1,IM!$AC$1:$AC$6881))),0),"檢核"),"未登錄"),"")</f>
        <v/>
      </c>
      <c r="M196" s="394">
        <f>Q196&amp;IF(AND(S196&lt;&gt;"",AND(Q196&lt;&gt;"")),$P$2,"")&amp;S196&amp;IF(U196&lt;&gt;"",$P$2,"")&amp;U196</f>
        <v/>
      </c>
      <c r="N196" s="283">
        <f t="array" ref="N196">IF(AND(
    SUMPRODUCT(
        (IM!$F$2:$F$1181=A196) *
        ISNUMBER(SEARCH("*HUB*", IM!$AC$2:$AC$1181)) *
        (IM!$X$2:$X$1181&gt;=$A$1) *
        (IM!$X$2:$X$1181&lt;=$B$1)*(Z196="HUB")
    ) &gt; 0
), "HUB", "")</f>
        <v/>
      </c>
      <c r="O196" s="397">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4">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5">
        <f t="array" ref="V196">IFERROR(INDEX(IM!$AM$2:$AM$9382, MATCH(1, (IM!$F$2:$F$9382=A196) * (ISNUMBER(SEARCH($F$1, IM!$AC$2:$AC$9382))), 0)), "")</f>
        <v/>
      </c>
      <c r="W196" s="228">
        <f>IF(AND(AA196&lt;&gt;"", AB196&lt;&gt;""), 2, IF(OR(AA196&lt;&gt;"", AB196&lt;&gt;""), 1, 0))</f>
        <v/>
      </c>
      <c r="X196" s="228" t="n"/>
      <c r="Y196" s="390">
        <f>IF(OR(S196="STAR", W196="", X196=""), W196,
"總數：" &amp; W196 &amp; CHAR(10) &amp;
"已維修：" &amp; X196 &amp; CHAR(10) &amp;
"未更換：" &amp; (W196 - X196))</f>
        <v/>
      </c>
      <c r="Z196" s="221">
        <f>IF(VLOOKUP(A196,'0919門市清單主檔'!B:AC,28,FALSE)=0,"",VLOOKUP(A196,'0919門市清單主檔'!B:AC,28,FALSE))</f>
        <v/>
      </c>
      <c r="AA196" s="326" t="n"/>
      <c r="AB196" s="167" t="n"/>
      <c r="AC196" s="167" t="inlineStr">
        <is>
          <t>STAR</t>
        </is>
      </c>
    </row>
    <row r="197" ht="21.6" customHeight="1" s="105">
      <c r="A197" s="128" t="n">
        <v>4326</v>
      </c>
      <c r="B197" s="129">
        <f>VLOOKUP(A197,'0919門市清單主檔'!B:C,2,FALSE)</f>
        <v/>
      </c>
      <c r="C197" s="130">
        <f>VLOOKUP($A197,'0919門市清單主檔'!B:V,20,FALSE)</f>
        <v/>
      </c>
      <c r="D197" s="131">
        <f>VLOOKUP($A197,'0919門市清單主檔'!B:V,21,FALSE)</f>
        <v/>
      </c>
      <c r="E197" s="280">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4">
        <f t="array" ref="J197">IFERROR(INDEX(IM!$AM$2:$AM$9333, MATCH(1, (IM!$F$2:$F$9333=A197) * (ISNUMBER(SEARCH($C$1, IM!$AC$2:$AC$9333))), 0)), "")</f>
        <v/>
      </c>
      <c r="K197" s="316">
        <f t="array" ref="K197">SUMPRODUCT((IM!$F$2:$F$9181=A197)*(IM!$AD$2:$AD$9181="O")*(ISNUMBER(SEARCH($C$1, IM!$AC$2:$AC$9181))))</f>
        <v/>
      </c>
      <c r="L197" s="330">
        <f t="array" ref="L197">IF(K197&gt;0,IFERROR(HYPERLINK("#'IM'!AC"&amp;MATCH(1,(IM!$F$1:$F$6881=A197)*(ISNUMBER(SEARCH($C$1,IM!$AC$1:$AC$6881))),0),"檢核"),"未登錄"),"")</f>
        <v/>
      </c>
      <c r="M197" s="394">
        <f>Q197&amp;IF(AND(S197&lt;&gt;"",AND(Q197&lt;&gt;"")),$P$2,"")&amp;S197&amp;IF(U197&lt;&gt;"",$P$2,"")&amp;U197</f>
        <v/>
      </c>
      <c r="N197" s="283">
        <f t="array" ref="N197">IF(AND(
    SUMPRODUCT(
        (IM!$F$2:$F$1181=A197) *
        ISNUMBER(SEARCH("*HUB*", IM!$AC$2:$AC$1181)) *
        (IM!$X$2:$X$1181&gt;=$A$1) *
        (IM!$X$2:$X$1181&lt;=$B$1)*(Z197="HUB")
    ) &gt; 0
), "HUB", "")</f>
        <v/>
      </c>
      <c r="O197" s="397">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4">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5">
        <f t="array" ref="V197">IFERROR(INDEX(IM!$AM$2:$AM$9382, MATCH(1, (IM!$F$2:$F$9382=A197) * (ISNUMBER(SEARCH($F$1, IM!$AC$2:$AC$9382))), 0)), "")</f>
        <v/>
      </c>
      <c r="W197" s="228">
        <f>IF(AND(AA197&lt;&gt;"", AB197&lt;&gt;""), 2, IF(OR(AA197&lt;&gt;"", AB197&lt;&gt;""), 1, 0))</f>
        <v/>
      </c>
      <c r="X197" s="228" t="n"/>
      <c r="Y197" s="390">
        <f>IF(OR(S197="STAR", W197="", X197=""), W197,
"總數：" &amp; W197 &amp; CHAR(10) &amp;
"已維修：" &amp; X197 &amp; CHAR(10) &amp;
"未更換：" &amp; (W197 - X197))</f>
        <v/>
      </c>
      <c r="Z197" s="221">
        <f>IF(VLOOKUP(A197,'0919門市清單主檔'!B:AC,28,FALSE)=0,"",VLOOKUP(A197,'0919門市清單主檔'!B:AC,28,FALSE))</f>
        <v/>
      </c>
      <c r="AA197" s="326" t="n"/>
      <c r="AB197" s="167" t="n"/>
      <c r="AC197" s="167" t="inlineStr">
        <is>
          <t>STAR</t>
        </is>
      </c>
    </row>
    <row r="198" ht="21.6" customHeight="1" s="105">
      <c r="A198" s="128" t="n">
        <v>4282</v>
      </c>
      <c r="B198" s="129">
        <f>VLOOKUP(A198,'0919門市清單主檔'!B:C,2,FALSE)</f>
        <v/>
      </c>
      <c r="C198" s="130">
        <f>VLOOKUP($A198,'0919門市清單主檔'!B:V,20,FALSE)</f>
        <v/>
      </c>
      <c r="D198" s="131">
        <f>VLOOKUP($A198,'0919門市清單主檔'!B:V,21,FALSE)</f>
        <v/>
      </c>
      <c r="E198" s="280">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4">
        <f t="array" ref="J198">IFERROR(INDEX(IM!$AM$2:$AM$9333, MATCH(1, (IM!$F$2:$F$9333=A198) * (ISNUMBER(SEARCH($C$1, IM!$AC$2:$AC$9333))), 0)), "")</f>
        <v/>
      </c>
      <c r="K198" s="316">
        <f t="array" ref="K198">SUMPRODUCT((IM!$F$2:$F$9181=A198)*(IM!$AD$2:$AD$9181="O")*(ISNUMBER(SEARCH($C$1, IM!$AC$2:$AC$9181))))</f>
        <v/>
      </c>
      <c r="L198" s="330">
        <f t="array" ref="L198">IF(K198&gt;0,IFERROR(HYPERLINK("#'IM'!AC"&amp;MATCH(1,(IM!$F$1:$F$6881=A198)*(ISNUMBER(SEARCH($C$1,IM!$AC$1:$AC$6881))),0),"檢核"),"未登錄"),"")</f>
        <v/>
      </c>
      <c r="M198" s="394">
        <f>Q198&amp;IF(AND(S198&lt;&gt;"",AND(Q198&lt;&gt;"")),$P$2,"")&amp;S198&amp;IF(U198&lt;&gt;"",$P$2,"")&amp;U198</f>
        <v/>
      </c>
      <c r="N198" s="283">
        <f t="array" ref="N198">IF(AND(
    SUMPRODUCT(
        (IM!$F$2:$F$1181=A198) *
        ISNUMBER(SEARCH("*HUB*", IM!$AC$2:$AC$1181)) *
        (IM!$X$2:$X$1181&gt;=$A$1) *
        (IM!$X$2:$X$1181&lt;=$B$1)*(Z198="HUB")
    ) &gt; 0
), "HUB", "")</f>
        <v/>
      </c>
      <c r="O198" s="397">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4">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5">
        <f t="array" ref="V198">IFERROR(INDEX(IM!$AM$2:$AM$9382, MATCH(1, (IM!$F$2:$F$9382=A198) * (ISNUMBER(SEARCH($F$1, IM!$AC$2:$AC$9382))), 0)), "")</f>
        <v/>
      </c>
      <c r="W198" s="228">
        <f>IF(AND(AA198&lt;&gt;"", AB198&lt;&gt;""), 2, IF(OR(AA198&lt;&gt;"", AB198&lt;&gt;""), 1, 0))</f>
        <v/>
      </c>
      <c r="X198" s="228" t="n"/>
      <c r="Y198" s="390">
        <f>IF(OR(S198="STAR", W198="", X198=""), W198,
"總數：" &amp; W198 &amp; CHAR(10) &amp;
"已維修：" &amp; X198 &amp; CHAR(10) &amp;
"未更換：" &amp; (W198 - X198))</f>
        <v/>
      </c>
      <c r="Z198" s="221">
        <f>IF(VLOOKUP(A198,'0919門市清單主檔'!B:AC,28,FALSE)=0,"",VLOOKUP(A198,'0919門市清單主檔'!B:AC,28,FALSE))</f>
        <v/>
      </c>
      <c r="AA198" s="326" t="n"/>
      <c r="AB198" s="167" t="n"/>
      <c r="AC198" s="167" t="n"/>
    </row>
    <row r="199" ht="21.6" customHeight="1" s="105">
      <c r="A199" s="128" t="n">
        <v>4715</v>
      </c>
      <c r="B199" s="129">
        <f>VLOOKUP(A199,'0919門市清單主檔'!B:C,2,FALSE)</f>
        <v/>
      </c>
      <c r="C199" s="130">
        <f>VLOOKUP($A199,'0919門市清單主檔'!B:V,20,FALSE)</f>
        <v/>
      </c>
      <c r="D199" s="131">
        <f>VLOOKUP($A199,'0919門市清單主檔'!B:V,21,FALSE)</f>
        <v/>
      </c>
      <c r="E199" s="280">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4">
        <f t="array" ref="J199">IFERROR(INDEX(IM!$AM$2:$AM$9333, MATCH(1, (IM!$F$2:$F$9333=A199) * (ISNUMBER(SEARCH($C$1, IM!$AC$2:$AC$9333))), 0)), "")</f>
        <v/>
      </c>
      <c r="K199" s="316">
        <f t="array" ref="K199">SUMPRODUCT((IM!$F$2:$F$9181=A199)*(IM!$AD$2:$AD$9181="O")*(ISNUMBER(SEARCH($C$1, IM!$AC$2:$AC$9181))))</f>
        <v/>
      </c>
      <c r="L199" s="330">
        <f t="array" ref="L199">IF(K199&gt;0,IFERROR(HYPERLINK("#'IM'!AC"&amp;MATCH(1,(IM!$F$1:$F$6881=A199)*(ISNUMBER(SEARCH($C$1,IM!$AC$1:$AC$6881))),0),"檢核"),"未登錄"),"")</f>
        <v/>
      </c>
      <c r="M199" s="394">
        <f>Q199&amp;IF(AND(S199&lt;&gt;"",AND(Q199&lt;&gt;"")),$P$2,"")&amp;S199&amp;IF(U199&lt;&gt;"",$P$2,"")&amp;U199</f>
        <v/>
      </c>
      <c r="N199" s="283">
        <f t="array" ref="N199">IF(AND(
    SUMPRODUCT(
        (IM!$F$2:$F$1181=A199) *
        ISNUMBER(SEARCH("*HUB*", IM!$AC$2:$AC$1181)) *
        (IM!$X$2:$X$1181&gt;=$A$1) *
        (IM!$X$2:$X$1181&lt;=$B$1)*(Z199="HUB")
    ) &gt; 0
), "HUB", "")</f>
        <v/>
      </c>
      <c r="O199" s="397">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4">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5">
        <f t="array" ref="V199">IFERROR(INDEX(IM!$AM$2:$AM$9382, MATCH(1, (IM!$F$2:$F$9382=A199) * (ISNUMBER(SEARCH($F$1, IM!$AC$2:$AC$9382))), 0)), "")</f>
        <v/>
      </c>
      <c r="W199" s="228">
        <f>IF(AND(AA199&lt;&gt;"", AB199&lt;&gt;""), 2, IF(OR(AA199&lt;&gt;"", AB199&lt;&gt;""), 1, 0))</f>
        <v/>
      </c>
      <c r="X199" s="228" t="n"/>
      <c r="Y199" s="390">
        <f>IF(OR(S199="STAR", W199="", X199=""), W199,
"總數：" &amp; W199 &amp; CHAR(10) &amp;
"已維修：" &amp; X199 &amp; CHAR(10) &amp;
"未更換：" &amp; (W199 - X199))</f>
        <v/>
      </c>
      <c r="Z199" s="221">
        <f>IF(VLOOKUP(A199,'0919門市清單主檔'!B:AC,28,FALSE)=0,"",VLOOKUP(A199,'0919門市清單主檔'!B:AC,28,FALSE))</f>
        <v/>
      </c>
      <c r="AA199" s="326" t="n"/>
      <c r="AB199" s="167" t="n"/>
      <c r="AC199" s="167" t="inlineStr">
        <is>
          <t>STAR</t>
        </is>
      </c>
    </row>
    <row r="200" ht="21.6" customHeight="1" s="105">
      <c r="A200" s="128" t="n">
        <v>4834</v>
      </c>
      <c r="B200" s="129">
        <f>VLOOKUP(A200,'0919門市清單主檔'!B:C,2,FALSE)</f>
        <v/>
      </c>
      <c r="C200" s="130">
        <f>VLOOKUP($A200,'0919門市清單主檔'!B:V,20,FALSE)</f>
        <v/>
      </c>
      <c r="D200" s="131">
        <f>VLOOKUP($A200,'0919門市清單主檔'!B:V,21,FALSE)</f>
        <v/>
      </c>
      <c r="E200" s="280">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4">
        <f t="array" ref="J200">IFERROR(INDEX(IM!$AM$2:$AM$9333, MATCH(1, (IM!$F$2:$F$9333=A200) * (ISNUMBER(SEARCH($C$1, IM!$AC$2:$AC$9333))), 0)), "")</f>
        <v/>
      </c>
      <c r="K200" s="316">
        <f t="array" ref="K200">SUMPRODUCT((IM!$F$2:$F$9181=A200)*(IM!$AD$2:$AD$9181="O")*(ISNUMBER(SEARCH($C$1, IM!$AC$2:$AC$9181))))</f>
        <v/>
      </c>
      <c r="L200" s="330">
        <f t="array" ref="L200">IF(K200&gt;0,IFERROR(HYPERLINK("#'IM'!AC"&amp;MATCH(1,(IM!$F$1:$F$6881=A200)*(ISNUMBER(SEARCH($C$1,IM!$AC$1:$AC$6881))),0),"檢核"),"未登錄"),"")</f>
        <v/>
      </c>
      <c r="M200" s="394">
        <f>Q200&amp;IF(AND(S200&lt;&gt;"",AND(Q200&lt;&gt;"")),$P$2,"")&amp;S200&amp;IF(U200&lt;&gt;"",$P$2,"")&amp;U200</f>
        <v/>
      </c>
      <c r="N200" s="283">
        <f t="array" ref="N200">IF(AND(
    SUMPRODUCT(
        (IM!$F$2:$F$1181=A200) *
        ISNUMBER(SEARCH("*HUB*", IM!$AC$2:$AC$1181)) *
        (IM!$X$2:$X$1181&gt;=$A$1) *
        (IM!$X$2:$X$1181&lt;=$B$1)*(Z200="HUB")
    ) &gt; 0
), "HUB", "")</f>
        <v/>
      </c>
      <c r="O200" s="397">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4">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5">
        <f t="array" ref="V200">IFERROR(INDEX(IM!$AM$2:$AM$9382, MATCH(1, (IM!$F$2:$F$9382=A200) * (ISNUMBER(SEARCH($F$1, IM!$AC$2:$AC$9382))), 0)), "")</f>
        <v/>
      </c>
      <c r="W200" s="228">
        <f>IF(AND(AA200&lt;&gt;"", AB200&lt;&gt;""), 2, IF(OR(AA200&lt;&gt;"", AB200&lt;&gt;""), 1, 0))</f>
        <v/>
      </c>
      <c r="X200" s="228" t="n"/>
      <c r="Y200" s="390">
        <f>IF(OR(S200="STAR", W200="", X200=""), W200,
"總數：" &amp; W200 &amp; CHAR(10) &amp;
"已維修：" &amp; X200 &amp; CHAR(10) &amp;
"未更換：" &amp; (W200 - X200))</f>
        <v/>
      </c>
      <c r="Z200" s="221">
        <f>IF(VLOOKUP(A200,'0919門市清單主檔'!B:AC,28,FALSE)=0,"",VLOOKUP(A200,'0919門市清單主檔'!B:AC,28,FALSE))</f>
        <v/>
      </c>
      <c r="AA200" s="326" t="n"/>
      <c r="AB200" s="167" t="n"/>
      <c r="AC200" s="167" t="inlineStr">
        <is>
          <t>STAR</t>
        </is>
      </c>
    </row>
    <row r="201" ht="21.6" customHeight="1" s="105">
      <c r="A201" s="128" t="n">
        <v>4483</v>
      </c>
      <c r="B201" s="129">
        <f>VLOOKUP(A201,'0919門市清單主檔'!B:C,2,FALSE)</f>
        <v/>
      </c>
      <c r="C201" s="130">
        <f>VLOOKUP($A201,'0919門市清單主檔'!B:V,20,FALSE)</f>
        <v/>
      </c>
      <c r="D201" s="131">
        <f>VLOOKUP($A201,'0919門市清單主檔'!B:V,21,FALSE)</f>
        <v/>
      </c>
      <c r="E201" s="280">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4">
        <f t="array" ref="J201">IFERROR(INDEX(IM!$AM$2:$AM$9333, MATCH(1, (IM!$F$2:$F$9333=A201) * (ISNUMBER(SEARCH($C$1, IM!$AC$2:$AC$9333))), 0)), "")</f>
        <v/>
      </c>
      <c r="K201" s="316">
        <f t="array" ref="K201">SUMPRODUCT((IM!$F$2:$F$9181=A201)*(IM!$AD$2:$AD$9181="O")*(ISNUMBER(SEARCH($C$1, IM!$AC$2:$AC$9181))))</f>
        <v/>
      </c>
      <c r="L201" s="330">
        <f t="array" ref="L201">IF(K201&gt;0,IFERROR(HYPERLINK("#'IM'!AC"&amp;MATCH(1,(IM!$F$1:$F$6881=A201)*(ISNUMBER(SEARCH($C$1,IM!$AC$1:$AC$6881))),0),"檢核"),"未登錄"),"")</f>
        <v/>
      </c>
      <c r="M201" s="394">
        <f>Q201&amp;IF(AND(S201&lt;&gt;"",AND(Q201&lt;&gt;"")),$P$2,"")&amp;S201&amp;IF(U201&lt;&gt;"",$P$2,"")&amp;U201</f>
        <v/>
      </c>
      <c r="N201" s="283">
        <f t="array" ref="N201">IF(AND(
    SUMPRODUCT(
        (IM!$F$2:$F$1181=A201) *
        ISNUMBER(SEARCH("*HUB*", IM!$AC$2:$AC$1181)) *
        (IM!$X$2:$X$1181&gt;=$A$1) *
        (IM!$X$2:$X$1181&lt;=$B$1)*(Z201="HUB")
    ) &gt; 0
), "HUB", "")</f>
        <v/>
      </c>
      <c r="O201" s="397">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4">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5">
        <f t="array" ref="V201">IFERROR(INDEX(IM!$AM$2:$AM$9382, MATCH(1, (IM!$F$2:$F$9382=A201) * (ISNUMBER(SEARCH($F$1, IM!$AC$2:$AC$9382))), 0)), "")</f>
        <v/>
      </c>
      <c r="W201" s="228">
        <f>IF(AND(AA201&lt;&gt;"", AB201&lt;&gt;""), 2, IF(OR(AA201&lt;&gt;"", AB201&lt;&gt;""), 1, 0))</f>
        <v/>
      </c>
      <c r="X201" s="228" t="n"/>
      <c r="Y201" s="390">
        <f>IF(OR(S201="STAR", W201="", X201=""), W201,
"總數：" &amp; W201 &amp; CHAR(10) &amp;
"已維修：" &amp; X201 &amp; CHAR(10) &amp;
"未更換：" &amp; (W201 - X201))</f>
        <v/>
      </c>
      <c r="Z201" s="221">
        <f>IF(VLOOKUP(A201,'0919門市清單主檔'!B:AC,28,FALSE)=0,"",VLOOKUP(A201,'0919門市清單主檔'!B:AC,28,FALSE))</f>
        <v/>
      </c>
      <c r="AA201" s="326" t="n"/>
      <c r="AB201" s="167" t="n"/>
      <c r="AC201" s="167" t="inlineStr">
        <is>
          <t>STAR</t>
        </is>
      </c>
    </row>
    <row r="202" ht="21.6" customHeight="1" s="105">
      <c r="A202" s="128" t="n">
        <v>4514</v>
      </c>
      <c r="B202" s="129">
        <f>VLOOKUP(A202,'0919門市清單主檔'!B:C,2,FALSE)</f>
        <v/>
      </c>
      <c r="C202" s="130">
        <f>VLOOKUP($A202,'0919門市清單主檔'!B:V,20,FALSE)</f>
        <v/>
      </c>
      <c r="D202" s="131">
        <f>VLOOKUP($A202,'0919門市清單主檔'!B:V,21,FALSE)</f>
        <v/>
      </c>
      <c r="E202" s="280">
        <f>VLOOKUP(D202,門市狀態!G:H,2,FALSE)</f>
        <v/>
      </c>
      <c r="F202" s="132">
        <f>IFERROR(IF(VLOOKUP(A202,門市狀態!A:D,4,FALSE)=0,"",VLOOKUP(A202,門市狀態!A:D,4,FALSE)),"")</f>
        <v/>
      </c>
      <c r="G202" s="133" t="n"/>
      <c r="H202" s="134">
        <f>IF(I202&gt;0,(TEXT(I202,"yyyymmdd")&amp;$T$2&amp;A202&amp;$T$2&amp;B202&amp;$Q$2),"")</f>
        <v/>
      </c>
      <c r="I202" s="136">
        <f t="array" ref="I202">IF(AND(SUMPRODUCT((IM!$F$2:$F$1181=A202)*(ISNUMBER(SEARCH($C$1, IM!$AC$2:$AC$1181))))&gt;0), $C$1, "")</f>
        <v/>
      </c>
      <c r="J202" s="314">
        <f t="array" ref="J202">IFERROR(INDEX(IM!$AM$2:$AM$9333, MATCH(1, (IM!$F$2:$F$9333=A202) * (ISNUMBER(SEARCH($C$1, IM!$AC$2:$AC$9333))), 0)), "")</f>
        <v/>
      </c>
      <c r="K202" s="316">
        <f t="array" ref="K202">SUMPRODUCT((IM!$F$2:$F$9181=A202)*(IM!$AD$2:$AD$9181="O")*(ISNUMBER(SEARCH($C$1, IM!$AC$2:$AC$9181))))</f>
        <v/>
      </c>
      <c r="L202" s="330">
        <f t="array" ref="L202">IF(K202&gt;0,IFERROR(HYPERLINK("#'IM'!AC"&amp;MATCH(1,(IM!$F$1:$F$6881=A202)*(ISNUMBER(SEARCH($C$1,IM!$AC$1:$AC$6881))),0),"檢核"),"未登錄"),"")</f>
        <v/>
      </c>
      <c r="M202" s="394">
        <f>Q202&amp;IF(AND(S202&lt;&gt;"",AND(Q202&lt;&gt;"")),$P$2,"")&amp;S202&amp;IF(U202&lt;&gt;"",$P$2,"")&amp;U202</f>
        <v/>
      </c>
      <c r="N202" s="283">
        <f t="array" ref="N202">IF(AND(
    SUMPRODUCT(
        (IM!$F$2:$F$1181=A202) *
        ISNUMBER(SEARCH("*HUB*", IM!$AC$2:$AC$1181)) *
        (IM!$X$2:$X$1181&gt;=$A$1) *
        (IM!$X$2:$X$1181&lt;=$B$1)*(Z202="HUB")
    ) &gt; 0
), "HUB", "")</f>
        <v/>
      </c>
      <c r="O202" s="397">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4">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5">
        <f t="array" ref="V202">IFERROR(INDEX(IM!$AM$2:$AM$9382, MATCH(1, (IM!$F$2:$F$9382=A202) * (ISNUMBER(SEARCH($F$1, IM!$AC$2:$AC$9382))), 0)), "")</f>
        <v/>
      </c>
      <c r="W202" s="228">
        <f>IF(AND(AA202&lt;&gt;"", AB202&lt;&gt;""), 2, IF(OR(AA202&lt;&gt;"", AB202&lt;&gt;""), 1, 0))</f>
        <v/>
      </c>
      <c r="X202" s="228" t="n"/>
      <c r="Y202" s="390">
        <f>IF(OR(S202="STAR", W202="", X202=""), W202,
"總數：" &amp; W202 &amp; CHAR(10) &amp;
"已維修：" &amp; X202 &amp; CHAR(10) &amp;
"未更換：" &amp; (W202 - X202))</f>
        <v/>
      </c>
      <c r="Z202" s="221">
        <f>IF(VLOOKUP(A202,'0919門市清單主檔'!B:AC,28,FALSE)=0,"",VLOOKUP(A202,'0919門市清單主檔'!B:AC,28,FALSE))</f>
        <v/>
      </c>
      <c r="AA202" s="326" t="n"/>
      <c r="AB202" s="167" t="n"/>
      <c r="AC202" s="167" t="n"/>
    </row>
    <row r="203" ht="21.6" customHeight="1" s="105">
      <c r="A203" s="128" t="n">
        <v>3751</v>
      </c>
      <c r="B203" s="129">
        <f>VLOOKUP(A203,'0919門市清單主檔'!B:C,2,FALSE)</f>
        <v/>
      </c>
      <c r="C203" s="130">
        <f>VLOOKUP($A203,'0919門市清單主檔'!B:V,20,FALSE)</f>
        <v/>
      </c>
      <c r="D203" s="131">
        <f>VLOOKUP($A203,'0919門市清單主檔'!B:V,21,FALSE)</f>
        <v/>
      </c>
      <c r="E203" s="280">
        <f>VLOOKUP(D203,門市狀態!G:H,2,FALSE)</f>
        <v/>
      </c>
      <c r="F203" s="132">
        <f>IFERROR(IF(VLOOKUP(A203,門市狀態!A:D,4,FALSE)=0,"",VLOOKUP(A203,門市狀態!A:D,4,FALSE)),"")</f>
        <v/>
      </c>
      <c r="G203" s="133" t="inlineStr">
        <is>
          <t>學校</t>
        </is>
      </c>
      <c r="H203" s="134">
        <f>IF(I203&gt;0,(TEXT(I203,"yyyymmdd")&amp;$T$2&amp;A203&amp;$T$2&amp;B203&amp;$Q$2),"")</f>
        <v/>
      </c>
      <c r="I203" s="136">
        <f t="array" ref="I203">IF(AND(SUMPRODUCT((IM!$F$2:$F$1181=A203)*(ISNUMBER(SEARCH($C$1, IM!$AC$2:$AC$1181))))&gt;0), $C$1, "")</f>
        <v/>
      </c>
      <c r="J203" s="314">
        <f t="array" ref="J203">IFERROR(INDEX(IM!$AM$2:$AM$9333, MATCH(1, (IM!$F$2:$F$9333=A203) * (ISNUMBER(SEARCH($C$1, IM!$AC$2:$AC$9333))), 0)), "")</f>
        <v/>
      </c>
      <c r="K203" s="316">
        <f t="array" ref="K203">SUMPRODUCT((IM!$F$2:$F$9181=A203)*(IM!$AD$2:$AD$9181="O")*(ISNUMBER(SEARCH($C$1, IM!$AC$2:$AC$9181))))</f>
        <v/>
      </c>
      <c r="L203" s="330">
        <f t="array" ref="L203">IF(K203&gt;0,IFERROR(HYPERLINK("#'IM'!AC"&amp;MATCH(1,(IM!$F$1:$F$6881=A203)*(ISNUMBER(SEARCH($C$1,IM!$AC$1:$AC$6881))),0),"檢核"),"未登錄"),"")</f>
        <v/>
      </c>
      <c r="M203" s="394">
        <f>Q203&amp;IF(AND(S203&lt;&gt;"",AND(Q203&lt;&gt;"")),$P$2,"")&amp;S203&amp;IF(U203&lt;&gt;"",$P$2,"")&amp;U203</f>
        <v/>
      </c>
      <c r="N203" s="283">
        <f t="array" ref="N203">IF(AND(
    SUMPRODUCT(
        (IM!$F$2:$F$1181=A203) *
        ISNUMBER(SEARCH("*HUB*", IM!$AC$2:$AC$1181)) *
        (IM!$X$2:$X$1181&gt;=$A$1) *
        (IM!$X$2:$X$1181&lt;=$B$1)*(Z203="HUB")
    ) &gt; 0
), "HUB", "")</f>
        <v/>
      </c>
      <c r="O203" s="397">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4">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5">
        <f t="array" ref="V203">IFERROR(INDEX(IM!$AM$2:$AM$9382, MATCH(1, (IM!$F$2:$F$9382=A203) * (ISNUMBER(SEARCH($F$1, IM!$AC$2:$AC$9382))), 0)), "")</f>
        <v/>
      </c>
      <c r="W203" s="228">
        <f>IF(AND(AA203&lt;&gt;"", AB203&lt;&gt;""), 2, IF(OR(AA203&lt;&gt;"", AB203&lt;&gt;""), 1, 0))</f>
        <v/>
      </c>
      <c r="X203" s="228" t="n"/>
      <c r="Y203" s="390">
        <f>IF(OR(S203="STAR", W203="", X203=""), W203,
"總數：" &amp; W203 &amp; CHAR(10) &amp;
"已維修：" &amp; X203 &amp; CHAR(10) &amp;
"未更換：" &amp; (W203 - X203))</f>
        <v/>
      </c>
      <c r="Z203" s="221">
        <f>IF(VLOOKUP(A203,'0919門市清單主檔'!B:AC,28,FALSE)=0,"",VLOOKUP(A203,'0919門市清單主檔'!B:AC,28,FALSE))</f>
        <v/>
      </c>
      <c r="AA203" s="326" t="n"/>
      <c r="AB203" s="167" t="n"/>
      <c r="AC203" s="167" t="inlineStr">
        <is>
          <t>STAR</t>
        </is>
      </c>
    </row>
    <row r="204" ht="21.6" customHeight="1" s="105">
      <c r="A204" s="128" t="n">
        <v>3243</v>
      </c>
      <c r="B204" s="129">
        <f>VLOOKUP(A204,'0919門市清單主檔'!B:C,2,FALSE)</f>
        <v/>
      </c>
      <c r="C204" s="130">
        <f>VLOOKUP($A204,'0919門市清單主檔'!B:V,20,FALSE)</f>
        <v/>
      </c>
      <c r="D204" s="131">
        <f>VLOOKUP($A204,'0919門市清單主檔'!B:V,21,FALSE)</f>
        <v/>
      </c>
      <c r="E204" s="280">
        <f>VLOOKUP(D204,門市狀態!G:H,2,FALSE)</f>
        <v/>
      </c>
      <c r="F204" s="132">
        <f>IFERROR(IF(VLOOKUP(A204,門市狀態!A:D,4,FALSE)=0,"",VLOOKUP(A204,門市狀態!A:D,4,FALSE)),"")</f>
        <v/>
      </c>
      <c r="G204" s="133" t="inlineStr">
        <is>
          <t>學校</t>
        </is>
      </c>
      <c r="H204" s="134">
        <f>IF(I204&gt;0,(TEXT(I204,"yyyymmdd")&amp;$T$2&amp;A204&amp;$T$2&amp;B204&amp;$Q$2),"")</f>
        <v/>
      </c>
      <c r="I204" s="136">
        <f t="array" ref="I204">IF(AND(SUMPRODUCT((IM!$F$2:$F$1181=A204)*(ISNUMBER(SEARCH($C$1, IM!$AC$2:$AC$1181))))&gt;0), $C$1, "")</f>
        <v/>
      </c>
      <c r="J204" s="314">
        <f t="array" ref="J204">IFERROR(INDEX(IM!$AM$2:$AM$9333, MATCH(1, (IM!$F$2:$F$9333=A204) * (ISNUMBER(SEARCH($C$1, IM!$AC$2:$AC$9333))), 0)), "")</f>
        <v/>
      </c>
      <c r="K204" s="316">
        <f t="array" ref="K204">SUMPRODUCT((IM!$F$2:$F$9181=A204)*(IM!$AD$2:$AD$9181="O")*(ISNUMBER(SEARCH($C$1, IM!$AC$2:$AC$9181))))</f>
        <v/>
      </c>
      <c r="L204" s="330">
        <f t="array" ref="L204">IF(K204&gt;0,IFERROR(HYPERLINK("#'IM'!AC"&amp;MATCH(1,(IM!$F$1:$F$6881=A204)*(ISNUMBER(SEARCH($C$1,IM!$AC$1:$AC$6881))),0),"檢核"),"未登錄"),"")</f>
        <v/>
      </c>
      <c r="M204" s="394">
        <f>Q204&amp;IF(AND(S204&lt;&gt;"",AND(Q204&lt;&gt;"")),$P$2,"")&amp;S204&amp;IF(U204&lt;&gt;"",$P$2,"")&amp;U204</f>
        <v/>
      </c>
      <c r="N204" s="283">
        <f t="array" ref="N204">IF(AND(
    SUMPRODUCT(
        (IM!$F$2:$F$1181=A204) *
        ISNUMBER(SEARCH("*HUB*", IM!$AC$2:$AC$1181)) *
        (IM!$X$2:$X$1181&gt;=$A$1) *
        (IM!$X$2:$X$1181&lt;=$B$1)*(Z204="HUB")
    ) &gt; 0
), "HUB", "")</f>
        <v/>
      </c>
      <c r="O204" s="397">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4">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5">
        <f t="array" ref="V204">IFERROR(INDEX(IM!$AM$2:$AM$9382, MATCH(1, (IM!$F$2:$F$9382=A204) * (ISNUMBER(SEARCH($F$1, IM!$AC$2:$AC$9382))), 0)), "")</f>
        <v/>
      </c>
      <c r="W204" s="228">
        <f>IF(AND(AA204&lt;&gt;"", AB204&lt;&gt;""), 2, IF(OR(AA204&lt;&gt;"", AB204&lt;&gt;""), 1, 0))</f>
        <v/>
      </c>
      <c r="X204" s="228" t="n"/>
      <c r="Y204" s="390">
        <f>IF(OR(S204="STAR", W204="", X204=""), W204,
"總數：" &amp; W204 &amp; CHAR(10) &amp;
"已維修：" &amp; X204 &amp; CHAR(10) &amp;
"未更換：" &amp; (W204 - X204))</f>
        <v/>
      </c>
      <c r="Z204" s="221">
        <f>IF(VLOOKUP(A204,'0919門市清單主檔'!B:AC,28,FALSE)=0,"",VLOOKUP(A204,'0919門市清單主檔'!B:AC,28,FALSE))</f>
        <v/>
      </c>
      <c r="AA204" s="326" t="n"/>
      <c r="AB204" s="167" t="n"/>
      <c r="AC204" s="167" t="inlineStr">
        <is>
          <t>STAR</t>
        </is>
      </c>
    </row>
    <row r="205" ht="21.6" customHeight="1" s="105">
      <c r="A205" s="128" t="n">
        <v>3137</v>
      </c>
      <c r="B205" s="129">
        <f>VLOOKUP(A205,'0919門市清單主檔'!B:C,2,FALSE)</f>
        <v/>
      </c>
      <c r="C205" s="130">
        <f>VLOOKUP($A205,'0919門市清單主檔'!B:V,20,FALSE)</f>
        <v/>
      </c>
      <c r="D205" s="131">
        <f>VLOOKUP($A205,'0919門市清單主檔'!B:V,21,FALSE)</f>
        <v/>
      </c>
      <c r="E205" s="280">
        <f>VLOOKUP(D205,門市狀態!G:H,2,FALSE)</f>
        <v/>
      </c>
      <c r="F205" s="132">
        <f>IFERROR(IF(VLOOKUP(A205,門市狀態!A:D,4,FALSE)=0,"",VLOOKUP(A205,門市狀態!A:D,4,FALSE)),"")</f>
        <v/>
      </c>
      <c r="G205" s="133" t="inlineStr">
        <is>
          <t>學校</t>
        </is>
      </c>
      <c r="H205" s="134">
        <f>IF(I205&gt;0,(TEXT(I205,"yyyymmdd")&amp;$T$2&amp;A205&amp;$T$2&amp;B205&amp;$Q$2),"")</f>
        <v/>
      </c>
      <c r="I205" s="136">
        <f t="array" ref="I205">IF(AND(SUMPRODUCT((IM!$F$2:$F$1181=A205)*(ISNUMBER(SEARCH($C$1, IM!$AC$2:$AC$1181))))&gt;0), $C$1, "")</f>
        <v/>
      </c>
      <c r="J205" s="314">
        <f t="array" ref="J205">IFERROR(INDEX(IM!$AM$2:$AM$9333, MATCH(1, (IM!$F$2:$F$9333=A205) * (ISNUMBER(SEARCH($C$1, IM!$AC$2:$AC$9333))), 0)), "")</f>
        <v/>
      </c>
      <c r="K205" s="316">
        <f t="array" ref="K205">SUMPRODUCT((IM!$F$2:$F$9181=A205)*(IM!$AD$2:$AD$9181="O")*(ISNUMBER(SEARCH($C$1, IM!$AC$2:$AC$9181))))</f>
        <v/>
      </c>
      <c r="L205" s="330">
        <f t="array" ref="L205">IF(K205&gt;0,IFERROR(HYPERLINK("#'IM'!AC"&amp;MATCH(1,(IM!$F$1:$F$6881=A205)*(ISNUMBER(SEARCH($C$1,IM!$AC$1:$AC$6881))),0),"檢核"),"未登錄"),"")</f>
        <v/>
      </c>
      <c r="M205" s="394">
        <f>Q205&amp;IF(AND(S205&lt;&gt;"",AND(Q205&lt;&gt;"")),$P$2,"")&amp;S205&amp;IF(U205&lt;&gt;"",$P$2,"")&amp;U205</f>
        <v/>
      </c>
      <c r="N205" s="283">
        <f t="array" ref="N205">IF(AND(
    SUMPRODUCT(
        (IM!$F$2:$F$1181=A205) *
        ISNUMBER(SEARCH("*HUB*", IM!$AC$2:$AC$1181)) *
        (IM!$X$2:$X$1181&gt;=$A$1) *
        (IM!$X$2:$X$1181&lt;=$B$1)*(Z205="HUB")
    ) &gt; 0
), "HUB", "")</f>
        <v/>
      </c>
      <c r="O205" s="397">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4">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5">
        <f t="array" ref="V205">IFERROR(INDEX(IM!$AM$2:$AM$9382, MATCH(1, (IM!$F$2:$F$9382=A205) * (ISNUMBER(SEARCH($F$1, IM!$AC$2:$AC$9382))), 0)), "")</f>
        <v/>
      </c>
      <c r="W205" s="228">
        <f>IF(AND(AA205&lt;&gt;"", AB205&lt;&gt;""), 2, IF(OR(AA205&lt;&gt;"", AB205&lt;&gt;""), 1, 0))</f>
        <v/>
      </c>
      <c r="X205" s="228" t="n"/>
      <c r="Y205" s="390">
        <f>IF(OR(S205="STAR", W205="", X205=""), W205,
"總數：" &amp; W205 &amp; CHAR(10) &amp;
"已維修：" &amp; X205 &amp; CHAR(10) &amp;
"未更換：" &amp; (W205 - X205))</f>
        <v/>
      </c>
      <c r="Z205" s="221">
        <f>IF(VLOOKUP(A205,'0919門市清單主檔'!B:AC,28,FALSE)=0,"",VLOOKUP(A205,'0919門市清單主檔'!B:AC,28,FALSE))</f>
        <v/>
      </c>
      <c r="AA205" s="326" t="n"/>
      <c r="AB205" s="167" t="n"/>
      <c r="AC205" s="167" t="n"/>
    </row>
    <row r="206" ht="21.6" customHeight="1" s="105">
      <c r="A206" s="128" t="n">
        <v>3359</v>
      </c>
      <c r="B206" s="129">
        <f>VLOOKUP(A206,'0919門市清單主檔'!B:C,2,FALSE)</f>
        <v/>
      </c>
      <c r="C206" s="130">
        <f>VLOOKUP($A206,'0919門市清單主檔'!B:V,20,FALSE)</f>
        <v/>
      </c>
      <c r="D206" s="131">
        <f>VLOOKUP($A206,'0919門市清單主檔'!B:V,21,FALSE)</f>
        <v/>
      </c>
      <c r="E206" s="280">
        <f>VLOOKUP(D206,門市狀態!G:H,2,FALSE)</f>
        <v/>
      </c>
      <c r="F206" s="132">
        <f>IFERROR(IF(VLOOKUP(A206,門市狀態!A:D,4,FALSE)=0,"",VLOOKUP(A206,門市狀態!A:D,4,FALSE)),"")</f>
        <v/>
      </c>
      <c r="G206" s="133" t="inlineStr">
        <is>
          <t>學校</t>
        </is>
      </c>
      <c r="H206" s="134">
        <f>IF(I206&gt;0,(TEXT(I206,"yyyymmdd")&amp;$T$2&amp;A206&amp;$T$2&amp;B206&amp;$Q$2),"")</f>
        <v/>
      </c>
      <c r="I206" s="136">
        <f t="array" ref="I206">IF(AND(SUMPRODUCT((IM!$F$2:$F$1181=A206)*(ISNUMBER(SEARCH($C$1, IM!$AC$2:$AC$1181))))&gt;0), $C$1, "")</f>
        <v/>
      </c>
      <c r="J206" s="314">
        <f t="array" ref="J206">IFERROR(INDEX(IM!$AM$2:$AM$9333, MATCH(1, (IM!$F$2:$F$9333=A206) * (ISNUMBER(SEARCH($C$1, IM!$AC$2:$AC$9333))), 0)), "")</f>
        <v/>
      </c>
      <c r="K206" s="316">
        <f t="array" ref="K206">SUMPRODUCT((IM!$F$2:$F$9181=A206)*(IM!$AD$2:$AD$9181="O")*(ISNUMBER(SEARCH($C$1, IM!$AC$2:$AC$9181))))</f>
        <v/>
      </c>
      <c r="L206" s="330">
        <f t="array" ref="L206">IF(K206&gt;0,IFERROR(HYPERLINK("#'IM'!AC"&amp;MATCH(1,(IM!$F$1:$F$6881=A206)*(ISNUMBER(SEARCH($C$1,IM!$AC$1:$AC$6881))),0),"檢核"),"未登錄"),"")</f>
        <v/>
      </c>
      <c r="M206" s="394">
        <f>Q206&amp;IF(AND(S206&lt;&gt;"",AND(Q206&lt;&gt;"")),$P$2,"")&amp;S206&amp;IF(U206&lt;&gt;"",$P$2,"")&amp;U206</f>
        <v/>
      </c>
      <c r="N206" s="283">
        <f t="array" ref="N206">IF(AND(
    SUMPRODUCT(
        (IM!$F$2:$F$1181=A206) *
        ISNUMBER(SEARCH("*HUB*", IM!$AC$2:$AC$1181)) *
        (IM!$X$2:$X$1181&gt;=$A$1) *
        (IM!$X$2:$X$1181&lt;=$B$1)*(Z206="HUB")
    ) &gt; 0
), "HUB", "")</f>
        <v/>
      </c>
      <c r="O206" s="397">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4">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5">
        <f t="array" ref="V206">IFERROR(INDEX(IM!$AM$2:$AM$9382, MATCH(1, (IM!$F$2:$F$9382=A206) * (ISNUMBER(SEARCH($F$1, IM!$AC$2:$AC$9382))), 0)), "")</f>
        <v/>
      </c>
      <c r="W206" s="228">
        <f>IF(AND(AA206&lt;&gt;"", AB206&lt;&gt;""), 2, IF(OR(AA206&lt;&gt;"", AB206&lt;&gt;""), 1, 0))</f>
        <v/>
      </c>
      <c r="X206" s="228" t="n"/>
      <c r="Y206" s="390">
        <f>IF(OR(S206="STAR", W206="", X206=""), W206,
"總數：" &amp; W206 &amp; CHAR(10) &amp;
"已維修：" &amp; X206 &amp; CHAR(10) &amp;
"未更換：" &amp; (W206 - X206))</f>
        <v/>
      </c>
      <c r="Z206" s="221">
        <f>IF(VLOOKUP(A206,'0919門市清單主檔'!B:AC,28,FALSE)=0,"",VLOOKUP(A206,'0919門市清單主檔'!B:AC,28,FALSE))</f>
        <v/>
      </c>
      <c r="AA206" s="326" t="n"/>
      <c r="AB206" s="167" t="n"/>
      <c r="AC206" s="167" t="inlineStr">
        <is>
          <t>STAR</t>
        </is>
      </c>
    </row>
    <row r="207" ht="21.6" customHeight="1" s="105">
      <c r="A207" s="128" t="n">
        <v>2221</v>
      </c>
      <c r="B207" s="129">
        <f>VLOOKUP(A207,'0919門市清單主檔'!B:C,2,FALSE)</f>
        <v/>
      </c>
      <c r="C207" s="130">
        <f>VLOOKUP($A207,'0919門市清單主檔'!B:V,20,FALSE)</f>
        <v/>
      </c>
      <c r="D207" s="131">
        <f>VLOOKUP($A207,'0919門市清單主檔'!B:V,21,FALSE)</f>
        <v/>
      </c>
      <c r="E207" s="280">
        <f>VLOOKUP(D207,門市狀態!G:H,2,FALSE)</f>
        <v/>
      </c>
      <c r="F207" s="132">
        <f>IFERROR(IF(VLOOKUP(A207,門市狀態!A:D,4,FALSE)=0,"",VLOOKUP(A207,門市狀態!A:D,4,FALSE)),"")</f>
        <v/>
      </c>
      <c r="G207" s="133" t="n"/>
      <c r="H207" s="134">
        <f>IF(I207&gt;0,(TEXT(I207,"yyyymmdd")&amp;$T$2&amp;A207&amp;$T$2&amp;B207&amp;$Q$2),"")</f>
        <v/>
      </c>
      <c r="I207" s="136">
        <f t="array" ref="I207">IF(AND(SUMPRODUCT((IM!$F$2:$F$1181=A207)*(ISNUMBER(SEARCH($C$1, IM!$AC$2:$AC$1181))))&gt;0), $C$1, "")</f>
        <v/>
      </c>
      <c r="J207" s="314">
        <f t="array" ref="J207">IFERROR(INDEX(IM!$AM$2:$AM$9333, MATCH(1, (IM!$F$2:$F$9333=A207) * (ISNUMBER(SEARCH($C$1, IM!$AC$2:$AC$9333))), 0)), "")</f>
        <v/>
      </c>
      <c r="K207" s="316">
        <f t="array" ref="K207">SUMPRODUCT((IM!$F$2:$F$9181=A207)*(IM!$AD$2:$AD$9181="O")*(ISNUMBER(SEARCH($C$1, IM!$AC$2:$AC$9181))))</f>
        <v/>
      </c>
      <c r="L207" s="330">
        <f t="array" ref="L207">IF(K207&gt;0,IFERROR(HYPERLINK("#'IM'!AC"&amp;MATCH(1,(IM!$F$1:$F$6881=A207)*(ISNUMBER(SEARCH($C$1,IM!$AC$1:$AC$6881))),0),"檢核"),"未登錄"),"")</f>
        <v/>
      </c>
      <c r="M207" s="394">
        <f>Q207&amp;IF(AND(S207&lt;&gt;"",AND(Q207&lt;&gt;"")),$P$2,"")&amp;S207&amp;IF(U207&lt;&gt;"",$P$2,"")&amp;U207</f>
        <v/>
      </c>
      <c r="N207" s="283">
        <f t="array" ref="N207">IF(AND(
    SUMPRODUCT(
        (IM!$F$2:$F$1181=A207) *
        ISNUMBER(SEARCH("*HUB*", IM!$AC$2:$AC$1181)) *
        (IM!$X$2:$X$1181&gt;=$A$1) *
        (IM!$X$2:$X$1181&lt;=$B$1)*(Z207="HUB")
    ) &gt; 0
), "HUB", "")</f>
        <v/>
      </c>
      <c r="O207" s="397">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4">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5">
        <f t="array" ref="V207">IFERROR(INDEX(IM!$AM$2:$AM$9382, MATCH(1, (IM!$F$2:$F$9382=A207) * (ISNUMBER(SEARCH($F$1, IM!$AC$2:$AC$9382))), 0)), "")</f>
        <v/>
      </c>
      <c r="W207" s="228">
        <f>IF(AND(AA207&lt;&gt;"", AB207&lt;&gt;""), 2, IF(OR(AA207&lt;&gt;"", AB207&lt;&gt;""), 1, 0))</f>
        <v/>
      </c>
      <c r="X207" s="228" t="n"/>
      <c r="Y207" s="390">
        <f>IF(OR(S207="STAR", W207="", X207=""), W207,
"總數：" &amp; W207 &amp; CHAR(10) &amp;
"已維修：" &amp; X207 &amp; CHAR(10) &amp;
"未更換：" &amp; (W207 - X207))</f>
        <v/>
      </c>
      <c r="Z207" s="221">
        <f>IF(VLOOKUP(A207,'0919門市清單主檔'!B:AC,28,FALSE)=0,"",VLOOKUP(A207,'0919門市清單主檔'!B:AC,28,FALSE))</f>
        <v/>
      </c>
      <c r="AA207" s="326" t="n"/>
      <c r="AB207" s="167" t="n"/>
      <c r="AC207" s="167" t="inlineStr">
        <is>
          <t>STAR</t>
        </is>
      </c>
    </row>
    <row r="208" ht="21.6" customHeight="1" s="105">
      <c r="A208" s="128" t="inlineStr">
        <is>
          <t>D767</t>
        </is>
      </c>
      <c r="B208" s="129">
        <f>VLOOKUP(A208,'0919門市清單主檔'!B:C,2,FALSE)</f>
        <v/>
      </c>
      <c r="C208" s="130">
        <f>VLOOKUP($A208,'0919門市清單主檔'!B:V,20,FALSE)</f>
        <v/>
      </c>
      <c r="D208" s="131">
        <f>VLOOKUP($A208,'0919門市清單主檔'!B:V,21,FALSE)</f>
        <v/>
      </c>
      <c r="E208" s="280">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4">
        <f t="array" ref="J208">IFERROR(INDEX(IM!$AM$2:$AM$9333, MATCH(1, (IM!$F$2:$F$9333=A208) * (ISNUMBER(SEARCH($C$1, IM!$AC$2:$AC$9333))), 0)), "")</f>
        <v/>
      </c>
      <c r="K208" s="316">
        <f t="array" ref="K208">SUMPRODUCT((IM!$F$2:$F$9181=A208)*(IM!$AD$2:$AD$9181="O")*(ISNUMBER(SEARCH($C$1, IM!$AC$2:$AC$9181))))</f>
        <v/>
      </c>
      <c r="L208" s="330">
        <f t="array" ref="L208">IF(K208&gt;0,IFERROR(HYPERLINK("#'IM'!AC"&amp;MATCH(1,(IM!$F$1:$F$6881=A208)*(ISNUMBER(SEARCH($C$1,IM!$AC$1:$AC$6881))),0),"檢核"),"未登錄"),"")</f>
        <v/>
      </c>
      <c r="M208" s="394">
        <f>Q208&amp;IF(AND(S208&lt;&gt;"",AND(Q208&lt;&gt;"")),$P$2,"")&amp;S208&amp;IF(U208&lt;&gt;"",$P$2,"")&amp;U208</f>
        <v/>
      </c>
      <c r="N208" s="283">
        <f t="array" ref="N208">IF(AND(
    SUMPRODUCT(
        (IM!$F$2:$F$1181=A208) *
        ISNUMBER(SEARCH("*HUB*", IM!$AC$2:$AC$1181)) *
        (IM!$X$2:$X$1181&gt;=$A$1) *
        (IM!$X$2:$X$1181&lt;=$B$1)*(Z208="HUB")
    ) &gt; 0
), "HUB", "")</f>
        <v/>
      </c>
      <c r="O208" s="397">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4">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5">
        <f t="array" ref="V208">IFERROR(INDEX(IM!$AM$2:$AM$9382, MATCH(1, (IM!$F$2:$F$9382=A208) * (ISNUMBER(SEARCH($F$1, IM!$AC$2:$AC$9382))), 0)), "")</f>
        <v/>
      </c>
      <c r="W208" s="228">
        <f>IF(AND(AA208&lt;&gt;"", AB208&lt;&gt;""), 2, IF(OR(AA208&lt;&gt;"", AB208&lt;&gt;""), 1, 0))</f>
        <v/>
      </c>
      <c r="X208" s="228" t="n"/>
      <c r="Y208" s="390">
        <f>IF(OR(S208="STAR", W208="", X208=""), W208,
"總數：" &amp; W208 &amp; CHAR(10) &amp;
"已維修：" &amp; X208 &amp; CHAR(10) &amp;
"未更換：" &amp; (W208 - X208))</f>
        <v/>
      </c>
      <c r="Z208" s="221">
        <f>IF(VLOOKUP(A208,'0919門市清單主檔'!B:AC,28,FALSE)=0,"",VLOOKUP(A208,'0919門市清單主檔'!B:AC,28,FALSE))</f>
        <v/>
      </c>
      <c r="AA208" s="326" t="n"/>
      <c r="AB208" s="167" t="n"/>
      <c r="AC208" s="167" t="inlineStr">
        <is>
          <t>STAR</t>
        </is>
      </c>
    </row>
    <row r="209" ht="21.6" customHeight="1" s="105">
      <c r="A209" s="128" t="n">
        <v>2746</v>
      </c>
      <c r="B209" s="129">
        <f>VLOOKUP(A209,'0919門市清單主檔'!B:C,2,FALSE)</f>
        <v/>
      </c>
      <c r="C209" s="130">
        <f>VLOOKUP($A209,'0919門市清單主檔'!B:V,20,FALSE)</f>
        <v/>
      </c>
      <c r="D209" s="131">
        <f>VLOOKUP($A209,'0919門市清單主檔'!B:V,21,FALSE)</f>
        <v/>
      </c>
      <c r="E209" s="280">
        <f>VLOOKUP(D209,門市狀態!G:H,2,FALSE)</f>
        <v/>
      </c>
      <c r="F209" s="132">
        <f>IFERROR(IF(VLOOKUP(A209,門市狀態!A:D,4,FALSE)=0,"",VLOOKUP(A209,門市狀態!A:D,4,FALSE)),"")</f>
        <v/>
      </c>
      <c r="G209" s="133" t="n"/>
      <c r="H209" s="134">
        <f>IF(I209&gt;0,(TEXT(I209,"yyyymmdd")&amp;$T$2&amp;A209&amp;$T$2&amp;B209&amp;$Q$2),"")</f>
        <v/>
      </c>
      <c r="I209" s="136">
        <f t="array" ref="I209">IF(AND(SUMPRODUCT((IM!$F$2:$F$1181=A209)*(ISNUMBER(SEARCH($C$1, IM!$AC$2:$AC$1181))))&gt;0), $C$1, "")</f>
        <v/>
      </c>
      <c r="J209" s="314">
        <f t="array" ref="J209">IFERROR(INDEX(IM!$AM$2:$AM$9333, MATCH(1, (IM!$F$2:$F$9333=A209) * (ISNUMBER(SEARCH($C$1, IM!$AC$2:$AC$9333))), 0)), "")</f>
        <v/>
      </c>
      <c r="K209" s="316">
        <f t="array" ref="K209">SUMPRODUCT((IM!$F$2:$F$9181=A209)*(IM!$AD$2:$AD$9181="O")*(ISNUMBER(SEARCH($C$1, IM!$AC$2:$AC$9181))))</f>
        <v/>
      </c>
      <c r="L209" s="330">
        <f t="array" ref="L209">IF(K209&gt;0,IFERROR(HYPERLINK("#'IM'!AC"&amp;MATCH(1,(IM!$F$1:$F$6881=A209)*(ISNUMBER(SEARCH($C$1,IM!$AC$1:$AC$6881))),0),"檢核"),"未登錄"),"")</f>
        <v/>
      </c>
      <c r="M209" s="394">
        <f>Q209&amp;IF(AND(S209&lt;&gt;"",AND(Q209&lt;&gt;"")),$P$2,"")&amp;S209&amp;IF(U209&lt;&gt;"",$P$2,"")&amp;U209</f>
        <v/>
      </c>
      <c r="N209" s="283">
        <f t="array" ref="N209">IF(AND(
    SUMPRODUCT(
        (IM!$F$2:$F$1181=A209) *
        ISNUMBER(SEARCH("*HUB*", IM!$AC$2:$AC$1181)) *
        (IM!$X$2:$X$1181&gt;=$A$1) *
        (IM!$X$2:$X$1181&lt;=$B$1)*(Z209="HUB")
    ) &gt; 0
), "HUB", "")</f>
        <v/>
      </c>
      <c r="O209" s="397">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4">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5">
        <f t="array" ref="V209">IFERROR(INDEX(IM!$AM$2:$AM$9382, MATCH(1, (IM!$F$2:$F$9382=A209) * (ISNUMBER(SEARCH($F$1, IM!$AC$2:$AC$9382))), 0)), "")</f>
        <v/>
      </c>
      <c r="W209" s="228">
        <f>IF(AND(AA209&lt;&gt;"", AB209&lt;&gt;""), 2, IF(OR(AA209&lt;&gt;"", AB209&lt;&gt;""), 1, 0))</f>
        <v/>
      </c>
      <c r="X209" s="228" t="n"/>
      <c r="Y209" s="390">
        <f>IF(OR(S209="STAR", W209="", X209=""), W209,
"總數：" &amp; W209 &amp; CHAR(10) &amp;
"已維修：" &amp; X209 &amp; CHAR(10) &amp;
"未更換：" &amp; (W209 - X209))</f>
        <v/>
      </c>
      <c r="Z209" s="221">
        <f>IF(VLOOKUP(A209,'0919門市清單主檔'!B:AC,28,FALSE)=0,"",VLOOKUP(A209,'0919門市清單主檔'!B:AC,28,FALSE))</f>
        <v/>
      </c>
      <c r="AA209" s="326" t="n"/>
      <c r="AB209" s="167" t="n"/>
      <c r="AC209" s="167" t="inlineStr">
        <is>
          <t>STAR</t>
        </is>
      </c>
    </row>
    <row r="210" ht="21.6" customHeight="1" s="105">
      <c r="A210" s="128" t="n">
        <v>2224</v>
      </c>
      <c r="B210" s="129">
        <f>VLOOKUP(A210,'0919門市清單主檔'!B:C,2,FALSE)</f>
        <v/>
      </c>
      <c r="C210" s="130">
        <f>VLOOKUP($A210,'0919門市清單主檔'!B:V,20,FALSE)</f>
        <v/>
      </c>
      <c r="D210" s="131">
        <f>VLOOKUP($A210,'0919門市清單主檔'!B:V,21,FALSE)</f>
        <v/>
      </c>
      <c r="E210" s="280">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4">
        <f t="array" ref="J210">IFERROR(INDEX(IM!$AM$2:$AM$9333, MATCH(1, (IM!$F$2:$F$9333=A210) * (ISNUMBER(SEARCH($C$1, IM!$AC$2:$AC$9333))), 0)), "")</f>
        <v/>
      </c>
      <c r="K210" s="316">
        <f t="array" ref="K210">SUMPRODUCT((IM!$F$2:$F$9181=A210)*(IM!$AD$2:$AD$9181="O")*(ISNUMBER(SEARCH($C$1, IM!$AC$2:$AC$9181))))</f>
        <v/>
      </c>
      <c r="L210" s="330">
        <f t="array" ref="L210">IF(K210&gt;0,IFERROR(HYPERLINK("#'IM'!AC"&amp;MATCH(1,(IM!$F$1:$F$6881=A210)*(ISNUMBER(SEARCH($C$1,IM!$AC$1:$AC$6881))),0),"檢核"),"未登錄"),"")</f>
        <v/>
      </c>
      <c r="M210" s="394">
        <f>Q210&amp;IF(AND(S210&lt;&gt;"",AND(Q210&lt;&gt;"")),$P$2,"")&amp;S210&amp;IF(U210&lt;&gt;"",$P$2,"")&amp;U210</f>
        <v/>
      </c>
      <c r="N210" s="283">
        <f t="array" ref="N210">IF(AND(
    SUMPRODUCT(
        (IM!$F$2:$F$1181=A210) *
        ISNUMBER(SEARCH("*HUB*", IM!$AC$2:$AC$1181)) *
        (IM!$X$2:$X$1181&gt;=$A$1) *
        (IM!$X$2:$X$1181&lt;=$B$1)*(Z210="HUB")
    ) &gt; 0
), "HUB", "")</f>
        <v/>
      </c>
      <c r="O210" s="397">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4">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5">
        <f t="array" ref="V210">IFERROR(INDEX(IM!$AM$2:$AM$9382, MATCH(1, (IM!$F$2:$F$9382=A210) * (ISNUMBER(SEARCH($F$1, IM!$AC$2:$AC$9382))), 0)), "")</f>
        <v/>
      </c>
      <c r="W210" s="228">
        <f>IF(AND(AA210&lt;&gt;"", AB210&lt;&gt;""), 2, IF(OR(AA210&lt;&gt;"", AB210&lt;&gt;""), 1, 0))</f>
        <v/>
      </c>
      <c r="X210" s="228" t="n"/>
      <c r="Y210" s="390">
        <f>IF(OR(S210="STAR", W210="", X210=""), W210,
"總數：" &amp; W210 &amp; CHAR(10) &amp;
"已維修：" &amp; X210 &amp; CHAR(10) &amp;
"未更換：" &amp; (W210 - X210))</f>
        <v/>
      </c>
      <c r="Z210" s="221">
        <f>IF(VLOOKUP(A210,'0919門市清單主檔'!B:AC,28,FALSE)=0,"",VLOOKUP(A210,'0919門市清單主檔'!B:AC,28,FALSE))</f>
        <v/>
      </c>
      <c r="AA210" s="326" t="n"/>
      <c r="AB210" s="167" t="n"/>
      <c r="AC210" s="167" t="inlineStr">
        <is>
          <t>STAR</t>
        </is>
      </c>
    </row>
    <row r="211" ht="21.6" customHeight="1" s="105">
      <c r="A211" s="128" t="n">
        <v>2069</v>
      </c>
      <c r="B211" s="129">
        <f>VLOOKUP(A211,'0919門市清單主檔'!B:C,2,FALSE)</f>
        <v/>
      </c>
      <c r="C211" s="130">
        <f>VLOOKUP($A211,'0919門市清單主檔'!B:V,20,FALSE)</f>
        <v/>
      </c>
      <c r="D211" s="131">
        <f>VLOOKUP($A211,'0919門市清單主檔'!B:V,21,FALSE)</f>
        <v/>
      </c>
      <c r="E211" s="280">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4">
        <f t="array" ref="J211">IFERROR(INDEX(IM!$AM$2:$AM$9333, MATCH(1, (IM!$F$2:$F$9333=A211) * (ISNUMBER(SEARCH($C$1, IM!$AC$2:$AC$9333))), 0)), "")</f>
        <v/>
      </c>
      <c r="K211" s="316">
        <f t="array" ref="K211">SUMPRODUCT((IM!$F$2:$F$9181=A211)*(IM!$AD$2:$AD$9181="O")*(ISNUMBER(SEARCH($C$1, IM!$AC$2:$AC$9181))))</f>
        <v/>
      </c>
      <c r="L211" s="330">
        <f t="array" ref="L211">IF(K211&gt;0,IFERROR(HYPERLINK("#'IM'!AC"&amp;MATCH(1,(IM!$F$1:$F$6881=A211)*(ISNUMBER(SEARCH($C$1,IM!$AC$1:$AC$6881))),0),"檢核"),"未登錄"),"")</f>
        <v/>
      </c>
      <c r="M211" s="394">
        <f>Q211&amp;IF(AND(S211&lt;&gt;"",AND(Q211&lt;&gt;"")),$P$2,"")&amp;S211&amp;IF(U211&lt;&gt;"",$P$2,"")&amp;U211</f>
        <v/>
      </c>
      <c r="N211" s="283">
        <f t="array" ref="N211">IF(AND(
    SUMPRODUCT(
        (IM!$F$2:$F$1181=A211) *
        ISNUMBER(SEARCH("*HUB*", IM!$AC$2:$AC$1181)) *
        (IM!$X$2:$X$1181&gt;=$A$1) *
        (IM!$X$2:$X$1181&lt;=$B$1)*(Z211="HUB")
    ) &gt; 0
), "HUB", "")</f>
        <v/>
      </c>
      <c r="O211" s="397">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4">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5">
        <f t="array" ref="V211">IFERROR(INDEX(IM!$AM$2:$AM$9382, MATCH(1, (IM!$F$2:$F$9382=A211) * (ISNUMBER(SEARCH($F$1, IM!$AC$2:$AC$9382))), 0)), "")</f>
        <v/>
      </c>
      <c r="W211" s="228">
        <f>IF(AND(AA211&lt;&gt;"", AB211&lt;&gt;""), 2, IF(OR(AA211&lt;&gt;"", AB211&lt;&gt;""), 1, 0))</f>
        <v/>
      </c>
      <c r="X211" s="228" t="n"/>
      <c r="Y211" s="390">
        <f>IF(OR(S211="STAR", W211="", X211=""), W211,
"總數：" &amp; W211 &amp; CHAR(10) &amp;
"已維修：" &amp; X211 &amp; CHAR(10) &amp;
"未更換：" &amp; (W211 - X211))</f>
        <v/>
      </c>
      <c r="Z211" s="221">
        <f>IF(VLOOKUP(A211,'0919門市清單主檔'!B:AC,28,FALSE)=0,"",VLOOKUP(A211,'0919門市清單主檔'!B:AC,28,FALSE))</f>
        <v/>
      </c>
      <c r="AA211" s="326" t="n"/>
      <c r="AB211" s="167" t="n"/>
      <c r="AC211" s="167" t="inlineStr">
        <is>
          <t>STAR</t>
        </is>
      </c>
    </row>
    <row r="212" ht="21.6" customHeight="1" s="105">
      <c r="A212" s="128" t="n">
        <v>3399</v>
      </c>
      <c r="B212" s="129">
        <f>VLOOKUP(A212,'0919門市清單主檔'!B:C,2,FALSE)</f>
        <v/>
      </c>
      <c r="C212" s="130">
        <f>VLOOKUP($A212,'0919門市清單主檔'!B:V,20,FALSE)</f>
        <v/>
      </c>
      <c r="D212" s="131">
        <f>VLOOKUP($A212,'0919門市清單主檔'!B:V,21,FALSE)</f>
        <v/>
      </c>
      <c r="E212" s="280">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4">
        <f t="array" ref="J212">IFERROR(INDEX(IM!$AM$2:$AM$9333, MATCH(1, (IM!$F$2:$F$9333=A212) * (ISNUMBER(SEARCH($C$1, IM!$AC$2:$AC$9333))), 0)), "")</f>
        <v/>
      </c>
      <c r="K212" s="316">
        <f t="array" ref="K212">SUMPRODUCT((IM!$F$2:$F$9181=A212)*(IM!$AD$2:$AD$9181="O")*(ISNUMBER(SEARCH($C$1, IM!$AC$2:$AC$9181))))</f>
        <v/>
      </c>
      <c r="L212" s="330">
        <f t="array" ref="L212">IF(K212&gt;0,IFERROR(HYPERLINK("#'IM'!AC"&amp;MATCH(1,(IM!$F$1:$F$6881=A212)*(ISNUMBER(SEARCH($C$1,IM!$AC$1:$AC$6881))),0),"檢核"),"未登錄"),"")</f>
        <v/>
      </c>
      <c r="M212" s="394">
        <f>Q212&amp;IF(AND(S212&lt;&gt;"",AND(Q212&lt;&gt;"")),$P$2,"")&amp;S212&amp;IF(U212&lt;&gt;"",$P$2,"")&amp;U212</f>
        <v/>
      </c>
      <c r="N212" s="283">
        <f t="array" ref="N212">IF(AND(
    SUMPRODUCT(
        (IM!$F$2:$F$1181=A212) *
        ISNUMBER(SEARCH("*HUB*", IM!$AC$2:$AC$1181)) *
        (IM!$X$2:$X$1181&gt;=$A$1) *
        (IM!$X$2:$X$1181&lt;=$B$1)*(Z212="HUB")
    ) &gt; 0
), "HUB", "")</f>
        <v/>
      </c>
      <c r="O212" s="397">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4">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5">
        <f t="array" ref="V212">IFERROR(INDEX(IM!$AM$2:$AM$9382, MATCH(1, (IM!$F$2:$F$9382=A212) * (ISNUMBER(SEARCH($F$1, IM!$AC$2:$AC$9382))), 0)), "")</f>
        <v/>
      </c>
      <c r="W212" s="228">
        <f>IF(AND(AA212&lt;&gt;"", AB212&lt;&gt;""), 2, IF(OR(AA212&lt;&gt;"", AB212&lt;&gt;""), 1, 0))</f>
        <v/>
      </c>
      <c r="X212" s="228" t="n"/>
      <c r="Y212" s="390">
        <f>IF(OR(S212="STAR", W212="", X212=""), W212,
"總數：" &amp; W212 &amp; CHAR(10) &amp;
"已維修：" &amp; X212 &amp; CHAR(10) &amp;
"未更換：" &amp; (W212 - X212))</f>
        <v/>
      </c>
      <c r="Z212" s="221">
        <f>IF(VLOOKUP(A212,'0919門市清單主檔'!B:AC,28,FALSE)=0,"",VLOOKUP(A212,'0919門市清單主檔'!B:AC,28,FALSE))</f>
        <v/>
      </c>
      <c r="AA212" s="326" t="n"/>
      <c r="AB212" s="167" t="n"/>
      <c r="AC212" s="167" t="inlineStr">
        <is>
          <t>STAR</t>
        </is>
      </c>
      <c r="AD212" s="167" t="n"/>
    </row>
    <row r="213" ht="21.6" customHeight="1" s="105">
      <c r="A213" s="128" t="n">
        <v>3999</v>
      </c>
      <c r="B213" s="129">
        <f>VLOOKUP(A213,'0919門市清單主檔'!B:C,2,FALSE)</f>
        <v/>
      </c>
      <c r="C213" s="130">
        <f>VLOOKUP($A213,'0919門市清單主檔'!B:V,20,FALSE)</f>
        <v/>
      </c>
      <c r="D213" s="131">
        <f>VLOOKUP($A213,'0919門市清單主檔'!B:V,21,FALSE)</f>
        <v/>
      </c>
      <c r="E213" s="280">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4">
        <f t="array" ref="J213">IFERROR(INDEX(IM!$AM$2:$AM$9333, MATCH(1, (IM!$F$2:$F$9333=A213) * (ISNUMBER(SEARCH($C$1, IM!$AC$2:$AC$9333))), 0)), "")</f>
        <v/>
      </c>
      <c r="K213" s="316">
        <f t="array" ref="K213">SUMPRODUCT((IM!$F$2:$F$9181=A213)*(IM!$AD$2:$AD$9181="O")*(ISNUMBER(SEARCH($C$1, IM!$AC$2:$AC$9181))))</f>
        <v/>
      </c>
      <c r="L213" s="330">
        <f t="array" ref="L213">IF(K213&gt;0,IFERROR(HYPERLINK("#'IM'!AC"&amp;MATCH(1,(IM!$F$1:$F$6881=A213)*(ISNUMBER(SEARCH($C$1,IM!$AC$1:$AC$6881))),0),"檢核"),"未登錄"),"")</f>
        <v/>
      </c>
      <c r="M213" s="394">
        <f>Q213&amp;IF(AND(S213&lt;&gt;"",AND(Q213&lt;&gt;"")),$P$2,"")&amp;S213&amp;IF(U213&lt;&gt;"",$P$2,"")&amp;U213</f>
        <v/>
      </c>
      <c r="N213" s="283">
        <f t="array" ref="N213">IF(AND(
    SUMPRODUCT(
        (IM!$F$2:$F$1181=A213) *
        ISNUMBER(SEARCH("*HUB*", IM!$AC$2:$AC$1181)) *
        (IM!$X$2:$X$1181&gt;=$A$1) *
        (IM!$X$2:$X$1181&lt;=$B$1)*(Z213="HUB")
    ) &gt; 0
), "HUB", "")</f>
        <v/>
      </c>
      <c r="O213" s="397">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4">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5">
        <f t="array" ref="V213">IFERROR(INDEX(IM!$AM$2:$AM$9382, MATCH(1, (IM!$F$2:$F$9382=A213) * (ISNUMBER(SEARCH($F$1, IM!$AC$2:$AC$9382))), 0)), "")</f>
        <v/>
      </c>
      <c r="W213" s="228">
        <f>IF(AND(AA213&lt;&gt;"", AB213&lt;&gt;""), 2, IF(OR(AA213&lt;&gt;"", AB213&lt;&gt;""), 1, 0))</f>
        <v/>
      </c>
      <c r="X213" s="228" t="n"/>
      <c r="Y213" s="390">
        <f>IF(OR(S213="STAR", W213="", X213=""), W213,
"總數：" &amp; W213 &amp; CHAR(10) &amp;
"已維修：" &amp; X213 &amp; CHAR(10) &amp;
"未更換：" &amp; (W213 - X213))</f>
        <v/>
      </c>
      <c r="Z213" s="221">
        <f>IF(VLOOKUP(A213,'0919門市清單主檔'!B:AC,28,FALSE)=0,"",VLOOKUP(A213,'0919門市清單主檔'!B:AC,28,FALSE))</f>
        <v/>
      </c>
      <c r="AA213" s="326" t="n"/>
      <c r="AB213" s="167" t="n"/>
      <c r="AC213" s="167" t="inlineStr">
        <is>
          <t>STAR</t>
        </is>
      </c>
    </row>
    <row r="214" ht="21.6" customHeight="1" s="105">
      <c r="A214" s="128" t="n">
        <v>3851</v>
      </c>
      <c r="B214" s="129">
        <f>VLOOKUP(A214,'0919門市清單主檔'!B:C,2,FALSE)</f>
        <v/>
      </c>
      <c r="C214" s="130">
        <f>VLOOKUP($A214,'0919門市清單主檔'!B:V,20,FALSE)</f>
        <v/>
      </c>
      <c r="D214" s="131">
        <f>VLOOKUP($A214,'0919門市清單主檔'!B:V,21,FALSE)</f>
        <v/>
      </c>
      <c r="E214" s="280">
        <f>VLOOKUP(D214,門市狀態!G:H,2,FALSE)</f>
        <v/>
      </c>
      <c r="F214" s="132">
        <f>IFERROR(IF(VLOOKUP(A214,門市狀態!A:D,4,FALSE)=0,"",VLOOKUP(A214,門市狀態!A:D,4,FALSE)),"")</f>
        <v/>
      </c>
      <c r="G214" s="133" t="inlineStr">
        <is>
          <t>學校</t>
        </is>
      </c>
      <c r="H214" s="134">
        <f>IF(I214&gt;0,(TEXT(I214,"yyyymmdd")&amp;$T$2&amp;A214&amp;$T$2&amp;B214&amp;$Q$2),"")</f>
        <v/>
      </c>
      <c r="I214" s="136">
        <f t="array" ref="I214">IF(AND(SUMPRODUCT((IM!$F$2:$F$1181=A214)*(ISNUMBER(SEARCH($C$1, IM!$AC$2:$AC$1181))))&gt;0), $C$1, "")</f>
        <v/>
      </c>
      <c r="J214" s="314">
        <f t="array" ref="J214">IFERROR(INDEX(IM!$AM$2:$AM$9333, MATCH(1, (IM!$F$2:$F$9333=A214) * (ISNUMBER(SEARCH($C$1, IM!$AC$2:$AC$9333))), 0)), "")</f>
        <v/>
      </c>
      <c r="K214" s="316">
        <f t="array" ref="K214">SUMPRODUCT((IM!$F$2:$F$9181=A214)*(IM!$AD$2:$AD$9181="O")*(ISNUMBER(SEARCH($C$1, IM!$AC$2:$AC$9181))))</f>
        <v/>
      </c>
      <c r="L214" s="330">
        <f t="array" ref="L214">IF(K214&gt;0,IFERROR(HYPERLINK("#'IM'!AC"&amp;MATCH(1,(IM!$F$1:$F$6881=A214)*(ISNUMBER(SEARCH($C$1,IM!$AC$1:$AC$6881))),0),"檢核"),"未登錄"),"")</f>
        <v/>
      </c>
      <c r="M214" s="394">
        <f>Q214&amp;IF(AND(S214&lt;&gt;"",AND(Q214&lt;&gt;"")),$P$2,"")&amp;S214&amp;IF(U214&lt;&gt;"",$P$2,"")&amp;U214</f>
        <v/>
      </c>
      <c r="N214" s="283">
        <f t="array" ref="N214">IF(AND(
    SUMPRODUCT(
        (IM!$F$2:$F$1181=A214) *
        ISNUMBER(SEARCH("*HUB*", IM!$AC$2:$AC$1181)) *
        (IM!$X$2:$X$1181&gt;=$A$1) *
        (IM!$X$2:$X$1181&lt;=$B$1)*(Z214="HUB")
    ) &gt; 0
), "HUB", "")</f>
        <v/>
      </c>
      <c r="O214" s="397">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4">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5">
        <f t="array" ref="V214">IFERROR(INDEX(IM!$AM$2:$AM$9382, MATCH(1, (IM!$F$2:$F$9382=A214) * (ISNUMBER(SEARCH($F$1, IM!$AC$2:$AC$9382))), 0)), "")</f>
        <v/>
      </c>
      <c r="W214" s="228">
        <f>IF(AND(AA214&lt;&gt;"", AB214&lt;&gt;""), 2, IF(OR(AA214&lt;&gt;"", AB214&lt;&gt;""), 1, 0))</f>
        <v/>
      </c>
      <c r="X214" s="228" t="n"/>
      <c r="Y214" s="390">
        <f>IF(OR(S214="STAR", W214="", X214=""), W214,
"總數：" &amp; W214 &amp; CHAR(10) &amp;
"已維修：" &amp; X214 &amp; CHAR(10) &amp;
"未更換：" &amp; (W214 - X214))</f>
        <v/>
      </c>
      <c r="Z214" s="221">
        <f>IF(VLOOKUP(A214,'0919門市清單主檔'!B:AC,28,FALSE)=0,"",VLOOKUP(A214,'0919門市清單主檔'!B:AC,28,FALSE))</f>
        <v/>
      </c>
      <c r="AA214" s="326" t="n"/>
      <c r="AB214" s="167" t="n"/>
      <c r="AC214" s="167" t="inlineStr">
        <is>
          <t>STAR</t>
        </is>
      </c>
    </row>
    <row r="215" ht="21.6" customHeight="1" s="105">
      <c r="A215" s="128" t="n">
        <v>3358</v>
      </c>
      <c r="B215" s="129">
        <f>VLOOKUP(A215,'0919門市清單主檔'!B:C,2,FALSE)</f>
        <v/>
      </c>
      <c r="C215" s="130">
        <f>VLOOKUP($A215,'0919門市清單主檔'!B:V,20,FALSE)</f>
        <v/>
      </c>
      <c r="D215" s="131">
        <f>VLOOKUP($A215,'0919門市清單主檔'!B:V,21,FALSE)</f>
        <v/>
      </c>
      <c r="E215" s="280">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4">
        <f t="array" ref="J215">IFERROR(INDEX(IM!$AM$2:$AM$9333, MATCH(1, (IM!$F$2:$F$9333=A215) * (ISNUMBER(SEARCH($C$1, IM!$AC$2:$AC$9333))), 0)), "")</f>
        <v/>
      </c>
      <c r="K215" s="316">
        <f t="array" ref="K215">SUMPRODUCT((IM!$F$2:$F$9181=A215)*(IM!$AD$2:$AD$9181="O")*(ISNUMBER(SEARCH($C$1, IM!$AC$2:$AC$9181))))</f>
        <v/>
      </c>
      <c r="L215" s="330">
        <f t="array" ref="L215">IF(K215&gt;0,IFERROR(HYPERLINK("#'IM'!AC"&amp;MATCH(1,(IM!$F$1:$F$6881=A215)*(ISNUMBER(SEARCH($C$1,IM!$AC$1:$AC$6881))),0),"檢核"),"未登錄"),"")</f>
        <v/>
      </c>
      <c r="M215" s="394">
        <f>Q215&amp;IF(AND(S215&lt;&gt;"",AND(Q215&lt;&gt;"")),$P$2,"")&amp;S215&amp;IF(U215&lt;&gt;"",$P$2,"")&amp;U215</f>
        <v/>
      </c>
      <c r="N215" s="283">
        <f t="array" ref="N215">IF(AND(
    SUMPRODUCT(
        (IM!$F$2:$F$1181=A215) *
        ISNUMBER(SEARCH("*HUB*", IM!$AC$2:$AC$1181)) *
        (IM!$X$2:$X$1181&gt;=$A$1) *
        (IM!$X$2:$X$1181&lt;=$B$1)*(Z215="HUB")
    ) &gt; 0
), "HUB", "")</f>
        <v/>
      </c>
      <c r="O215" s="397">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4">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5">
        <f t="array" ref="V215">IFERROR(INDEX(IM!$AM$2:$AM$9382, MATCH(1, (IM!$F$2:$F$9382=A215) * (ISNUMBER(SEARCH($F$1, IM!$AC$2:$AC$9382))), 0)), "")</f>
        <v/>
      </c>
      <c r="W215" s="228">
        <f>IF(AND(AA215&lt;&gt;"", AB215&lt;&gt;""), 2, IF(OR(AA215&lt;&gt;"", AB215&lt;&gt;""), 1, 0))</f>
        <v/>
      </c>
      <c r="X215" s="228" t="n"/>
      <c r="Y215" s="390">
        <f>IF(OR(S215="STAR", W215="", X215=""), W215,
"總數：" &amp; W215 &amp; CHAR(10) &amp;
"已維修：" &amp; X215 &amp; CHAR(10) &amp;
"未更換：" &amp; (W215 - X215))</f>
        <v/>
      </c>
      <c r="Z215" s="221">
        <f>IF(VLOOKUP(A215,'0919門市清單主檔'!B:AC,28,FALSE)=0,"",VLOOKUP(A215,'0919門市清單主檔'!B:AC,28,FALSE))</f>
        <v/>
      </c>
      <c r="AA215" s="326" t="n"/>
      <c r="AB215" s="167" t="n"/>
      <c r="AC215" s="167" t="n"/>
    </row>
    <row r="216" ht="21.6" customHeight="1" s="105">
      <c r="A216" s="128" t="n">
        <v>4701</v>
      </c>
      <c r="B216" s="129">
        <f>VLOOKUP(A216,'0919門市清單主檔'!B:C,2,FALSE)</f>
        <v/>
      </c>
      <c r="C216" s="130">
        <f>VLOOKUP($A216,'0919門市清單主檔'!B:V,20,FALSE)</f>
        <v/>
      </c>
      <c r="D216" s="131">
        <f>VLOOKUP($A216,'0919門市清單主檔'!B:V,21,FALSE)</f>
        <v/>
      </c>
      <c r="E216" s="280">
        <f>VLOOKUP(D216,門市狀態!G:H,2,FALSE)</f>
        <v/>
      </c>
      <c r="F216" s="132">
        <f>IFERROR(IF(VLOOKUP(A216,門市狀態!A:D,4,FALSE)=0,"",VLOOKUP(A216,門市狀態!A:D,4,FALSE)),"")</f>
        <v/>
      </c>
      <c r="G216" s="133" t="n"/>
      <c r="H216" s="134">
        <f>IF(I216&gt;0,(TEXT(I216,"yyyymmdd")&amp;$T$2&amp;A216&amp;$T$2&amp;B216&amp;$Q$2),"")</f>
        <v/>
      </c>
      <c r="I216" s="136">
        <f t="array" ref="I216">IF(AND(SUMPRODUCT((IM!$F$2:$F$1181=A216)*(ISNUMBER(SEARCH($C$1, IM!$AC$2:$AC$1181))))&gt;0), $C$1, "")</f>
        <v/>
      </c>
      <c r="J216" s="314">
        <f t="array" ref="J216">IFERROR(INDEX(IM!$AM$2:$AM$9333, MATCH(1, (IM!$F$2:$F$9333=A216) * (ISNUMBER(SEARCH($C$1, IM!$AC$2:$AC$9333))), 0)), "")</f>
        <v/>
      </c>
      <c r="K216" s="316">
        <f t="array" ref="K216">SUMPRODUCT((IM!$F$2:$F$9181=A216)*(IM!$AD$2:$AD$9181="O")*(ISNUMBER(SEARCH($C$1, IM!$AC$2:$AC$9181))))</f>
        <v/>
      </c>
      <c r="L216" s="330">
        <f t="array" ref="L216">IF(K216&gt;0,IFERROR(HYPERLINK("#'IM'!AC"&amp;MATCH(1,(IM!$F$1:$F$6881=A216)*(ISNUMBER(SEARCH($C$1,IM!$AC$1:$AC$6881))),0),"檢核"),"未登錄"),"")</f>
        <v/>
      </c>
      <c r="M216" s="394">
        <f>Q216&amp;IF(AND(S216&lt;&gt;"",AND(Q216&lt;&gt;"")),$P$2,"")&amp;S216&amp;IF(U216&lt;&gt;"",$P$2,"")&amp;U216</f>
        <v/>
      </c>
      <c r="N216" s="283">
        <f t="array" ref="N216">IF(AND(
    SUMPRODUCT(
        (IM!$F$2:$F$1181=A216) *
        ISNUMBER(SEARCH("*HUB*", IM!$AC$2:$AC$1181)) *
        (IM!$X$2:$X$1181&gt;=$A$1) *
        (IM!$X$2:$X$1181&lt;=$B$1)*(Z216="HUB")
    ) &gt; 0
), "HUB", "")</f>
        <v/>
      </c>
      <c r="O216" s="397">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4">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5">
        <f t="array" ref="V216">IFERROR(INDEX(IM!$AM$2:$AM$9382, MATCH(1, (IM!$F$2:$F$9382=A216) * (ISNUMBER(SEARCH($F$1, IM!$AC$2:$AC$9382))), 0)), "")</f>
        <v/>
      </c>
      <c r="W216" s="228">
        <f>IF(AND(AA216&lt;&gt;"", AB216&lt;&gt;""), 2, IF(OR(AA216&lt;&gt;"", AB216&lt;&gt;""), 1, 0))</f>
        <v/>
      </c>
      <c r="X216" s="228" t="n"/>
      <c r="Y216" s="390">
        <f>IF(OR(S216="STAR", W216="", X216=""), W216,
"總數：" &amp; W216 &amp; CHAR(10) &amp;
"已維修：" &amp; X216 &amp; CHAR(10) &amp;
"未更換：" &amp; (W216 - X216))</f>
        <v/>
      </c>
      <c r="Z216" s="221">
        <f>IF(VLOOKUP(A216,'0919門市清單主檔'!B:AC,28,FALSE)=0,"",VLOOKUP(A216,'0919門市清單主檔'!B:AC,28,FALSE))</f>
        <v/>
      </c>
      <c r="AA216" s="326" t="n"/>
      <c r="AB216" s="167" t="n"/>
      <c r="AC216" s="167" t="n"/>
    </row>
    <row r="217" ht="21.6" customHeight="1" s="105">
      <c r="A217" s="128" t="n">
        <v>3147</v>
      </c>
      <c r="B217" s="129">
        <f>VLOOKUP(A217,'0919門市清單主檔'!B:C,2,FALSE)</f>
        <v/>
      </c>
      <c r="C217" s="130">
        <f>VLOOKUP($A217,'0919門市清單主檔'!B:V,20,FALSE)</f>
        <v/>
      </c>
      <c r="D217" s="131">
        <f>VLOOKUP($A217,'0919門市清單主檔'!B:V,21,FALSE)</f>
        <v/>
      </c>
      <c r="E217" s="280">
        <f>VLOOKUP(D217,門市狀態!G:H,2,FALSE)</f>
        <v/>
      </c>
      <c r="F217" s="132">
        <f>IFERROR(IF(VLOOKUP(A217,門市狀態!A:D,4,FALSE)=0,"",VLOOKUP(A217,門市狀態!A:D,4,FALSE)),"")</f>
        <v/>
      </c>
      <c r="G217" s="133" t="n"/>
      <c r="H217" s="134">
        <f>IF(I217&gt;0,(TEXT(I217,"yyyymmdd")&amp;$T$2&amp;A217&amp;$T$2&amp;B217&amp;$Q$2),"")</f>
        <v/>
      </c>
      <c r="I217" s="136">
        <f t="array" ref="I217">IF(AND(SUMPRODUCT((IM!$F$2:$F$1181=A217)*(ISNUMBER(SEARCH($C$1, IM!$AC$2:$AC$1181))))&gt;0), $C$1, "")</f>
        <v/>
      </c>
      <c r="J217" s="314">
        <f t="array" ref="J217">IFERROR(INDEX(IM!$AM$2:$AM$9333, MATCH(1, (IM!$F$2:$F$9333=A217) * (ISNUMBER(SEARCH($C$1, IM!$AC$2:$AC$9333))), 0)), "")</f>
        <v/>
      </c>
      <c r="K217" s="316">
        <f t="array" ref="K217">SUMPRODUCT((IM!$F$2:$F$9181=A217)*(IM!$AD$2:$AD$9181="O")*(ISNUMBER(SEARCH($C$1, IM!$AC$2:$AC$9181))))</f>
        <v/>
      </c>
      <c r="L217" s="330">
        <f t="array" ref="L217">IF(K217&gt;0,IFERROR(HYPERLINK("#'IM'!AC"&amp;MATCH(1,(IM!$F$1:$F$6881=A217)*(ISNUMBER(SEARCH($C$1,IM!$AC$1:$AC$6881))),0),"檢核"),"未登錄"),"")</f>
        <v/>
      </c>
      <c r="M217" s="394">
        <f>Q217&amp;IF(AND(S217&lt;&gt;"",AND(Q217&lt;&gt;"")),$P$2,"")&amp;S217&amp;IF(U217&lt;&gt;"",$P$2,"")&amp;U217</f>
        <v/>
      </c>
      <c r="N217" s="283">
        <f t="array" ref="N217">IF(AND(
    SUMPRODUCT(
        (IM!$F$2:$F$1181=A217) *
        ISNUMBER(SEARCH("*HUB*", IM!$AC$2:$AC$1181)) *
        (IM!$X$2:$X$1181&gt;=$A$1) *
        (IM!$X$2:$X$1181&lt;=$B$1)*(Z217="HUB")
    ) &gt; 0
), "HUB", "")</f>
        <v/>
      </c>
      <c r="O217" s="397">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4">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5">
        <f t="array" ref="V217">IFERROR(INDEX(IM!$AM$2:$AM$9382, MATCH(1, (IM!$F$2:$F$9382=A217) * (ISNUMBER(SEARCH($F$1, IM!$AC$2:$AC$9382))), 0)), "")</f>
        <v/>
      </c>
      <c r="W217" s="228">
        <f>IF(AND(AA217&lt;&gt;"", AB217&lt;&gt;""), 2, IF(OR(AA217&lt;&gt;"", AB217&lt;&gt;""), 1, 0))</f>
        <v/>
      </c>
      <c r="X217" s="228" t="n"/>
      <c r="Y217" s="390">
        <f>IF(OR(S217="STAR", W217="", X217=""), W217,
"總數：" &amp; W217 &amp; CHAR(10) &amp;
"已維修：" &amp; X217 &amp; CHAR(10) &amp;
"未更換：" &amp; (W217 - X217))</f>
        <v/>
      </c>
      <c r="Z217" s="221">
        <f>IF(VLOOKUP(A217,'0919門市清單主檔'!B:AC,28,FALSE)=0,"",VLOOKUP(A217,'0919門市清單主檔'!B:AC,28,FALSE))</f>
        <v/>
      </c>
      <c r="AA217" s="326" t="n"/>
      <c r="AB217" s="167" t="n"/>
      <c r="AC217" s="167" t="inlineStr">
        <is>
          <t>STAR</t>
        </is>
      </c>
    </row>
    <row r="218" ht="21.6" customHeight="1" s="105">
      <c r="A218" s="128" t="inlineStr">
        <is>
          <t>D072</t>
        </is>
      </c>
      <c r="B218" s="129">
        <f>VLOOKUP(A218,'0919門市清單主檔'!B:C,2,FALSE)</f>
        <v/>
      </c>
      <c r="C218" s="130">
        <f>VLOOKUP($A218,'0919門市清單主檔'!B:V,20,FALSE)</f>
        <v/>
      </c>
      <c r="D218" s="131">
        <f>VLOOKUP($A218,'0919門市清單主檔'!B:V,21,FALSE)</f>
        <v/>
      </c>
      <c r="E218" s="280">
        <f>VLOOKUP(D218,門市狀態!G:H,2,FALSE)</f>
        <v/>
      </c>
      <c r="F218" s="132">
        <f>IFERROR(IF(VLOOKUP(A218,門市狀態!A:D,4,FALSE)=0,"",VLOOKUP(A218,門市狀態!A:D,4,FALSE)),"")</f>
        <v/>
      </c>
      <c r="G218" s="133" t="n"/>
      <c r="H218" s="134">
        <f>IF(I218&gt;0,(TEXT(I218,"yyyymmdd")&amp;$T$2&amp;A218&amp;$T$2&amp;B218&amp;$Q$2),"")</f>
        <v/>
      </c>
      <c r="I218" s="136">
        <f t="array" ref="I218">IF(AND(SUMPRODUCT((IM!$F$2:$F$1181=A218)*(ISNUMBER(SEARCH($C$1, IM!$AC$2:$AC$1181))))&gt;0), $C$1, "")</f>
        <v/>
      </c>
      <c r="J218" s="314">
        <f t="array" ref="J218">IFERROR(INDEX(IM!$AM$2:$AM$9333, MATCH(1, (IM!$F$2:$F$9333=A218) * (ISNUMBER(SEARCH($C$1, IM!$AC$2:$AC$9333))), 0)), "")</f>
        <v/>
      </c>
      <c r="K218" s="316">
        <f t="array" ref="K218">SUMPRODUCT((IM!$F$2:$F$9181=A218)*(IM!$AD$2:$AD$9181="O")*(ISNUMBER(SEARCH($C$1, IM!$AC$2:$AC$9181))))</f>
        <v/>
      </c>
      <c r="L218" s="330">
        <f t="array" ref="L218">IF(K218&gt;0,IFERROR(HYPERLINK("#'IM'!AC"&amp;MATCH(1,(IM!$F$1:$F$6881=A218)*(ISNUMBER(SEARCH($C$1,IM!$AC$1:$AC$6881))),0),"檢核"),"未登錄"),"")</f>
        <v/>
      </c>
      <c r="M218" s="394">
        <f>Q218&amp;IF(AND(S218&lt;&gt;"",AND(Q218&lt;&gt;"")),$P$2,"")&amp;S218&amp;IF(U218&lt;&gt;"",$P$2,"")&amp;U218</f>
        <v/>
      </c>
      <c r="N218" s="283">
        <f t="array" ref="N218">IF(AND(
    SUMPRODUCT(
        (IM!$F$2:$F$1181=A218) *
        ISNUMBER(SEARCH("*HUB*", IM!$AC$2:$AC$1181)) *
        (IM!$X$2:$X$1181&gt;=$A$1) *
        (IM!$X$2:$X$1181&lt;=$B$1)*(Z218="HUB")
    ) &gt; 0
), "HUB", "")</f>
        <v/>
      </c>
      <c r="O218" s="397">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4">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5">
        <f t="array" ref="V218">IFERROR(INDEX(IM!$AM$2:$AM$9382, MATCH(1, (IM!$F$2:$F$9382=A218) * (ISNUMBER(SEARCH($F$1, IM!$AC$2:$AC$9382))), 0)), "")</f>
        <v/>
      </c>
      <c r="W218" s="228">
        <f>IF(AND(AA218&lt;&gt;"", AB218&lt;&gt;""), 2, IF(OR(AA218&lt;&gt;"", AB218&lt;&gt;""), 1, 0))</f>
        <v/>
      </c>
      <c r="X218" s="228" t="n"/>
      <c r="Y218" s="390">
        <f>IF(OR(S218="STAR", W218="", X218=""), W218,
"總數：" &amp; W218 &amp; CHAR(10) &amp;
"已維修：" &amp; X218 &amp; CHAR(10) &amp;
"未更換：" &amp; (W218 - X218))</f>
        <v/>
      </c>
      <c r="Z218" s="221">
        <f>IF(VLOOKUP(A218,'0919門市清單主檔'!B:AC,28,FALSE)=0,"",VLOOKUP(A218,'0919門市清單主檔'!B:AC,28,FALSE))</f>
        <v/>
      </c>
      <c r="AA218" s="326" t="n"/>
      <c r="AB218" s="167" t="n"/>
      <c r="AC218" s="167" t="inlineStr">
        <is>
          <t>STAR</t>
        </is>
      </c>
    </row>
    <row r="219" ht="21.6" customHeight="1" s="105">
      <c r="A219" s="128" t="n">
        <v>2995</v>
      </c>
      <c r="B219" s="129">
        <f>VLOOKUP(A219,'0919門市清單主檔'!B:C,2,FALSE)</f>
        <v/>
      </c>
      <c r="C219" s="130">
        <f>VLOOKUP($A219,'0919門市清單主檔'!B:V,20,FALSE)</f>
        <v/>
      </c>
      <c r="D219" s="131">
        <f>VLOOKUP($A219,'0919門市清單主檔'!B:V,21,FALSE)</f>
        <v/>
      </c>
      <c r="E219" s="280">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4">
        <f t="array" ref="J219">IFERROR(INDEX(IM!$AM$2:$AM$9333, MATCH(1, (IM!$F$2:$F$9333=A219) * (ISNUMBER(SEARCH($C$1, IM!$AC$2:$AC$9333))), 0)), "")</f>
        <v/>
      </c>
      <c r="K219" s="316">
        <f t="array" ref="K219">SUMPRODUCT((IM!$F$2:$F$9181=A219)*(IM!$AD$2:$AD$9181="O")*(ISNUMBER(SEARCH($C$1, IM!$AC$2:$AC$9181))))</f>
        <v/>
      </c>
      <c r="L219" s="330">
        <f t="array" ref="L219">IF(K219&gt;0,IFERROR(HYPERLINK("#'IM'!AC"&amp;MATCH(1,(IM!$F$1:$F$6881=A219)*(ISNUMBER(SEARCH($C$1,IM!$AC$1:$AC$6881))),0),"檢核"),"未登錄"),"")</f>
        <v/>
      </c>
      <c r="M219" s="394">
        <f>Q219&amp;IF(AND(S219&lt;&gt;"",AND(Q219&lt;&gt;"")),$P$2,"")&amp;S219&amp;IF(U219&lt;&gt;"",$P$2,"")&amp;U219</f>
        <v/>
      </c>
      <c r="N219" s="283">
        <f t="array" ref="N219">IF(AND(
    SUMPRODUCT(
        (IM!$F$2:$F$1181=A219) *
        ISNUMBER(SEARCH("*HUB*", IM!$AC$2:$AC$1181)) *
        (IM!$X$2:$X$1181&gt;=$A$1) *
        (IM!$X$2:$X$1181&lt;=$B$1)*(Z219="HUB")
    ) &gt; 0
), "HUB", "")</f>
        <v/>
      </c>
      <c r="O219" s="397">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4">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5">
        <f t="array" ref="V219">IFERROR(INDEX(IM!$AM$2:$AM$9382, MATCH(1, (IM!$F$2:$F$9382=A219) * (ISNUMBER(SEARCH($F$1, IM!$AC$2:$AC$9382))), 0)), "")</f>
        <v/>
      </c>
      <c r="W219" s="228">
        <f>IF(AND(AA219&lt;&gt;"", AB219&lt;&gt;""), 2, IF(OR(AA219&lt;&gt;"", AB219&lt;&gt;""), 1, 0))</f>
        <v/>
      </c>
      <c r="X219" s="228" t="n"/>
      <c r="Y219" s="390">
        <f>IF(OR(S219="STAR", W219="", X219=""), W219,
"總數：" &amp; W219 &amp; CHAR(10) &amp;
"已維修：" &amp; X219 &amp; CHAR(10) &amp;
"未更換：" &amp; (W219 - X219))</f>
        <v/>
      </c>
      <c r="Z219" s="221">
        <f>IF(VLOOKUP(A219,'0919門市清單主檔'!B:AC,28,FALSE)=0,"",VLOOKUP(A219,'0919門市清單主檔'!B:AC,28,FALSE))</f>
        <v/>
      </c>
      <c r="AA219" s="326" t="n"/>
      <c r="AB219" s="167" t="n"/>
      <c r="AC219" s="167" t="inlineStr">
        <is>
          <t>STAR</t>
        </is>
      </c>
    </row>
    <row r="220" ht="21.6" customHeight="1" s="105">
      <c r="A220" s="128" t="n">
        <v>2154</v>
      </c>
      <c r="B220" s="129">
        <f>VLOOKUP(A220,'0919門市清單主檔'!B:C,2,FALSE)</f>
        <v/>
      </c>
      <c r="C220" s="130">
        <f>VLOOKUP($A220,'0919門市清單主檔'!B:V,20,FALSE)</f>
        <v/>
      </c>
      <c r="D220" s="131">
        <f>VLOOKUP($A220,'0919門市清單主檔'!B:V,21,FALSE)</f>
        <v/>
      </c>
      <c r="E220" s="280">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4">
        <f t="array" ref="J220">IFERROR(INDEX(IM!$AM$2:$AM$9333, MATCH(1, (IM!$F$2:$F$9333=A220) * (ISNUMBER(SEARCH($C$1, IM!$AC$2:$AC$9333))), 0)), "")</f>
        <v/>
      </c>
      <c r="K220" s="316">
        <f t="array" ref="K220">SUMPRODUCT((IM!$F$2:$F$9181=A220)*(IM!$AD$2:$AD$9181="O")*(ISNUMBER(SEARCH($C$1, IM!$AC$2:$AC$9181))))</f>
        <v/>
      </c>
      <c r="L220" s="330">
        <f t="array" ref="L220">IF(K220&gt;0,IFERROR(HYPERLINK("#'IM'!AC"&amp;MATCH(1,(IM!$F$1:$F$6881=A220)*(ISNUMBER(SEARCH($C$1,IM!$AC$1:$AC$6881))),0),"檢核"),"未登錄"),"")</f>
        <v/>
      </c>
      <c r="M220" s="394">
        <f>Q220&amp;IF(AND(S220&lt;&gt;"",AND(Q220&lt;&gt;"")),$P$2,"")&amp;S220&amp;IF(U220&lt;&gt;"",$P$2,"")&amp;U220</f>
        <v/>
      </c>
      <c r="N220" s="283">
        <f t="array" ref="N220">IF(AND(
    SUMPRODUCT(
        (IM!$F$2:$F$1181=A220) *
        ISNUMBER(SEARCH("*HUB*", IM!$AC$2:$AC$1181)) *
        (IM!$X$2:$X$1181&gt;=$A$1) *
        (IM!$X$2:$X$1181&lt;=$B$1)*(Z220="HUB")
    ) &gt; 0
), "HUB", "")</f>
        <v/>
      </c>
      <c r="O220" s="397">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4">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5">
        <f t="array" ref="V220">IFERROR(INDEX(IM!$AM$2:$AM$9382, MATCH(1, (IM!$F$2:$F$9382=A220) * (ISNUMBER(SEARCH($F$1, IM!$AC$2:$AC$9382))), 0)), "")</f>
        <v/>
      </c>
      <c r="W220" s="228">
        <f>IF(AND(AA220&lt;&gt;"", AB220&lt;&gt;""), 2, IF(OR(AA220&lt;&gt;"", AB220&lt;&gt;""), 1, 0))</f>
        <v/>
      </c>
      <c r="X220" s="228" t="n"/>
      <c r="Y220" s="390">
        <f>IF(OR(S220="STAR", W220="", X220=""), W220,
"總數：" &amp; W220 &amp; CHAR(10) &amp;
"已維修：" &amp; X220 &amp; CHAR(10) &amp;
"未更換：" &amp; (W220 - X220))</f>
        <v/>
      </c>
      <c r="Z220" s="221">
        <f>IF(VLOOKUP(A220,'0919門市清單主檔'!B:AC,28,FALSE)=0,"",VLOOKUP(A220,'0919門市清單主檔'!B:AC,28,FALSE))</f>
        <v/>
      </c>
      <c r="AA220" s="326" t="n"/>
      <c r="AB220" s="167" t="n"/>
      <c r="AC220" s="167" t="n"/>
    </row>
    <row r="221" ht="21.6" customHeight="1" s="105">
      <c r="A221" s="128" t="n">
        <v>2318</v>
      </c>
      <c r="B221" s="129">
        <f>VLOOKUP(A221,'0919門市清單主檔'!B:C,2,FALSE)</f>
        <v/>
      </c>
      <c r="C221" s="130">
        <f>VLOOKUP($A221,'0919門市清單主檔'!B:V,20,FALSE)</f>
        <v/>
      </c>
      <c r="D221" s="131">
        <f>VLOOKUP($A221,'0919門市清單主檔'!B:V,21,FALSE)</f>
        <v/>
      </c>
      <c r="E221" s="280">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4">
        <f t="array" ref="J221">IFERROR(INDEX(IM!$AM$2:$AM$9333, MATCH(1, (IM!$F$2:$F$9333=A221) * (ISNUMBER(SEARCH($C$1, IM!$AC$2:$AC$9333))), 0)), "")</f>
        <v/>
      </c>
      <c r="K221" s="316">
        <f t="array" ref="K221">SUMPRODUCT((IM!$F$2:$F$9181=A221)*(IM!$AD$2:$AD$9181="O")*(ISNUMBER(SEARCH($C$1, IM!$AC$2:$AC$9181))))</f>
        <v/>
      </c>
      <c r="L221" s="330">
        <f t="array" ref="L221">IF(K221&gt;0,IFERROR(HYPERLINK("#'IM'!AC"&amp;MATCH(1,(IM!$F$1:$F$6881=A221)*(ISNUMBER(SEARCH($C$1,IM!$AC$1:$AC$6881))),0),"檢核"),"未登錄"),"")</f>
        <v/>
      </c>
      <c r="M221" s="394">
        <f>Q221&amp;IF(AND(S221&lt;&gt;"",AND(Q221&lt;&gt;"")),$P$2,"")&amp;S221&amp;IF(U221&lt;&gt;"",$P$2,"")&amp;U221</f>
        <v/>
      </c>
      <c r="N221" s="283">
        <f t="array" ref="N221">IF(AND(
    SUMPRODUCT(
        (IM!$F$2:$F$1181=A221) *
        ISNUMBER(SEARCH("*HUB*", IM!$AC$2:$AC$1181)) *
        (IM!$X$2:$X$1181&gt;=$A$1) *
        (IM!$X$2:$X$1181&lt;=$B$1)*(Z221="HUB")
    ) &gt; 0
), "HUB", "")</f>
        <v/>
      </c>
      <c r="O221" s="397">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4">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5">
        <f t="array" ref="V221">IFERROR(INDEX(IM!$AM$2:$AM$9382, MATCH(1, (IM!$F$2:$F$9382=A221) * (ISNUMBER(SEARCH($F$1, IM!$AC$2:$AC$9382))), 0)), "")</f>
        <v/>
      </c>
      <c r="W221" s="228">
        <f>IF(AND(AA221&lt;&gt;"", AB221&lt;&gt;""), 2, IF(OR(AA221&lt;&gt;"", AB221&lt;&gt;""), 1, 0))</f>
        <v/>
      </c>
      <c r="X221" s="228" t="n"/>
      <c r="Y221" s="390">
        <f>IF(OR(S221="STAR", W221="", X221=""), W221,
"總數：" &amp; W221 &amp; CHAR(10) &amp;
"已維修：" &amp; X221 &amp; CHAR(10) &amp;
"未更換：" &amp; (W221 - X221))</f>
        <v/>
      </c>
      <c r="Z221" s="221">
        <f>IF(VLOOKUP(A221,'0919門市清單主檔'!B:AC,28,FALSE)=0,"",VLOOKUP(A221,'0919門市清單主檔'!B:AC,28,FALSE))</f>
        <v/>
      </c>
      <c r="AA221" s="326" t="n"/>
      <c r="AB221" s="167" t="n"/>
      <c r="AC221" s="167" t="inlineStr">
        <is>
          <t>STAR</t>
        </is>
      </c>
    </row>
    <row r="222" ht="21.6" customHeight="1" s="105">
      <c r="A222" s="128" t="n">
        <v>2897</v>
      </c>
      <c r="B222" s="129">
        <f>VLOOKUP(A222,'0919門市清單主檔'!B:C,2,FALSE)</f>
        <v/>
      </c>
      <c r="C222" s="130">
        <f>VLOOKUP($A222,'0919門市清單主檔'!B:V,20,FALSE)</f>
        <v/>
      </c>
      <c r="D222" s="131">
        <f>VLOOKUP($A222,'0919門市清單主檔'!B:V,21,FALSE)</f>
        <v/>
      </c>
      <c r="E222" s="280">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4">
        <f t="array" ref="J222">IFERROR(INDEX(IM!$AM$2:$AM$9333, MATCH(1, (IM!$F$2:$F$9333=A222) * (ISNUMBER(SEARCH($C$1, IM!$AC$2:$AC$9333))), 0)), "")</f>
        <v/>
      </c>
      <c r="K222" s="316">
        <f t="array" ref="K222">SUMPRODUCT((IM!$F$2:$F$9181=A222)*(IM!$AD$2:$AD$9181="O")*(ISNUMBER(SEARCH($C$1, IM!$AC$2:$AC$9181))))</f>
        <v/>
      </c>
      <c r="L222" s="330">
        <f t="array" ref="L222">IF(K222&gt;0,IFERROR(HYPERLINK("#'IM'!AC"&amp;MATCH(1,(IM!$F$1:$F$6881=A222)*(ISNUMBER(SEARCH($C$1,IM!$AC$1:$AC$6881))),0),"檢核"),"未登錄"),"")</f>
        <v/>
      </c>
      <c r="M222" s="394">
        <f>Q222&amp;IF(AND(S222&lt;&gt;"",AND(Q222&lt;&gt;"")),$P$2,"")&amp;S222&amp;IF(U222&lt;&gt;"",$P$2,"")&amp;U222</f>
        <v/>
      </c>
      <c r="N222" s="283">
        <f t="array" ref="N222">IF(AND(
    SUMPRODUCT(
        (IM!$F$2:$F$1181=A222) *
        ISNUMBER(SEARCH("*HUB*", IM!$AC$2:$AC$1181)) *
        (IM!$X$2:$X$1181&gt;=$A$1) *
        (IM!$X$2:$X$1181&lt;=$B$1)*(Z222="HUB")
    ) &gt; 0
), "HUB", "")</f>
        <v/>
      </c>
      <c r="O222" s="397">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4">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5">
        <f t="array" ref="V222">IFERROR(INDEX(IM!$AM$2:$AM$9382, MATCH(1, (IM!$F$2:$F$9382=A222) * (ISNUMBER(SEARCH($F$1, IM!$AC$2:$AC$9382))), 0)), "")</f>
        <v/>
      </c>
      <c r="W222" s="228">
        <f>IF(AND(AA222&lt;&gt;"", AB222&lt;&gt;""), 2, IF(OR(AA222&lt;&gt;"", AB222&lt;&gt;""), 1, 0))</f>
        <v/>
      </c>
      <c r="X222" s="228" t="n"/>
      <c r="Y222" s="390">
        <f>IF(OR(S222="STAR", W222="", X222=""), W222,
"總數：" &amp; W222 &amp; CHAR(10) &amp;
"已維修：" &amp; X222 &amp; CHAR(10) &amp;
"未更換：" &amp; (W222 - X222))</f>
        <v/>
      </c>
      <c r="Z222" s="221">
        <f>IF(VLOOKUP(A222,'0919門市清單主檔'!B:AC,28,FALSE)=0,"",VLOOKUP(A222,'0919門市清單主檔'!B:AC,28,FALSE))</f>
        <v/>
      </c>
      <c r="AA222" s="326" t="n"/>
      <c r="AB222" s="167" t="n"/>
      <c r="AC222" s="167" t="inlineStr">
        <is>
          <t>STAR</t>
        </is>
      </c>
    </row>
    <row r="223" ht="21.6" customHeight="1" s="105">
      <c r="A223" s="128" t="n">
        <v>2390</v>
      </c>
      <c r="B223" s="129">
        <f>VLOOKUP(A223,'0919門市清單主檔'!B:C,2,FALSE)</f>
        <v/>
      </c>
      <c r="C223" s="130">
        <f>VLOOKUP($A223,'0919門市清單主檔'!B:V,20,FALSE)</f>
        <v/>
      </c>
      <c r="D223" s="131">
        <f>VLOOKUP($A223,'0919門市清單主檔'!B:V,21,FALSE)</f>
        <v/>
      </c>
      <c r="E223" s="280">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4">
        <f t="array" ref="J223">IFERROR(INDEX(IM!$AM$2:$AM$9333, MATCH(1, (IM!$F$2:$F$9333=A223) * (ISNUMBER(SEARCH($C$1, IM!$AC$2:$AC$9333))), 0)), "")</f>
        <v/>
      </c>
      <c r="K223" s="316">
        <f t="array" ref="K223">SUMPRODUCT((IM!$F$2:$F$9181=A223)*(IM!$AD$2:$AD$9181="O")*(ISNUMBER(SEARCH($C$1, IM!$AC$2:$AC$9181))))</f>
        <v/>
      </c>
      <c r="L223" s="330">
        <f t="array" ref="L223">IF(K223&gt;0,IFERROR(HYPERLINK("#'IM'!AC"&amp;MATCH(1,(IM!$F$1:$F$6881=A223)*(ISNUMBER(SEARCH($C$1,IM!$AC$1:$AC$6881))),0),"檢核"),"未登錄"),"")</f>
        <v/>
      </c>
      <c r="M223" s="394">
        <f>Q223&amp;IF(AND(S223&lt;&gt;"",AND(Q223&lt;&gt;"")),$P$2,"")&amp;S223&amp;IF(U223&lt;&gt;"",$P$2,"")&amp;U223</f>
        <v/>
      </c>
      <c r="N223" s="283">
        <f t="array" ref="N223">IF(AND(
    SUMPRODUCT(
        (IM!$F$2:$F$1181=A223) *
        ISNUMBER(SEARCH("*HUB*", IM!$AC$2:$AC$1181)) *
        (IM!$X$2:$X$1181&gt;=$A$1) *
        (IM!$X$2:$X$1181&lt;=$B$1)*(Z223="HUB")
    ) &gt; 0
), "HUB", "")</f>
        <v/>
      </c>
      <c r="O223" s="397">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4">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5">
        <f t="array" ref="V223">IFERROR(INDEX(IM!$AM$2:$AM$9382, MATCH(1, (IM!$F$2:$F$9382=A223) * (ISNUMBER(SEARCH($F$1, IM!$AC$2:$AC$9382))), 0)), "")</f>
        <v/>
      </c>
      <c r="W223" s="228">
        <f>IF(AND(AA223&lt;&gt;"", AB223&lt;&gt;""), 2, IF(OR(AA223&lt;&gt;"", AB223&lt;&gt;""), 1, 0))</f>
        <v/>
      </c>
      <c r="X223" s="228" t="n"/>
      <c r="Y223" s="390">
        <f>IF(OR(S223="STAR", W223="", X223=""), W223,
"總數：" &amp; W223 &amp; CHAR(10) &amp;
"已維修：" &amp; X223 &amp; CHAR(10) &amp;
"未更換：" &amp; (W223 - X223))</f>
        <v/>
      </c>
      <c r="Z223" s="221">
        <f>IF(VLOOKUP(A223,'0919門市清單主檔'!B:AC,28,FALSE)=0,"",VLOOKUP(A223,'0919門市清單主檔'!B:AC,28,FALSE))</f>
        <v/>
      </c>
      <c r="AA223" s="326" t="n"/>
      <c r="AB223" s="167" t="n"/>
      <c r="AC223" s="167" t="inlineStr">
        <is>
          <t>STAR</t>
        </is>
      </c>
    </row>
    <row r="224" ht="21.6" customHeight="1" s="105">
      <c r="A224" s="128" t="n">
        <v>2691</v>
      </c>
      <c r="B224" s="129">
        <f>VLOOKUP(A224,'0919門市清單主檔'!B:C,2,FALSE)</f>
        <v/>
      </c>
      <c r="C224" s="130">
        <f>VLOOKUP($A224,'0919門市清單主檔'!B:V,20,FALSE)</f>
        <v/>
      </c>
      <c r="D224" s="131">
        <f>VLOOKUP($A224,'0919門市清單主檔'!B:V,21,FALSE)</f>
        <v/>
      </c>
      <c r="E224" s="280">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4">
        <f t="array" ref="J224">IFERROR(INDEX(IM!$AM$2:$AM$9333, MATCH(1, (IM!$F$2:$F$9333=A224) * (ISNUMBER(SEARCH($C$1, IM!$AC$2:$AC$9333))), 0)), "")</f>
        <v/>
      </c>
      <c r="K224" s="316">
        <f t="array" ref="K224">SUMPRODUCT((IM!$F$2:$F$9181=A224)*(IM!$AD$2:$AD$9181="O")*(ISNUMBER(SEARCH($C$1, IM!$AC$2:$AC$9181))))</f>
        <v/>
      </c>
      <c r="L224" s="330">
        <f t="array" ref="L224">IF(K224&gt;0,IFERROR(HYPERLINK("#'IM'!AC"&amp;MATCH(1,(IM!$F$1:$F$6881=A224)*(ISNUMBER(SEARCH($C$1,IM!$AC$1:$AC$6881))),0),"檢核"),"未登錄"),"")</f>
        <v/>
      </c>
      <c r="M224" s="394">
        <f>Q224&amp;IF(AND(S224&lt;&gt;"",AND(Q224&lt;&gt;"")),$P$2,"")&amp;S224&amp;IF(U224&lt;&gt;"",$P$2,"")&amp;U224</f>
        <v/>
      </c>
      <c r="N224" s="283">
        <f t="array" ref="N224">IF(AND(
    SUMPRODUCT(
        (IM!$F$2:$F$1181=A224) *
        ISNUMBER(SEARCH("*HUB*", IM!$AC$2:$AC$1181)) *
        (IM!$X$2:$X$1181&gt;=$A$1) *
        (IM!$X$2:$X$1181&lt;=$B$1)*(Z224="HUB")
    ) &gt; 0
), "HUB", "")</f>
        <v/>
      </c>
      <c r="O224" s="397">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4">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5">
        <f t="array" ref="V224">IFERROR(INDEX(IM!$AM$2:$AM$9382, MATCH(1, (IM!$F$2:$F$9382=A224) * (ISNUMBER(SEARCH($F$1, IM!$AC$2:$AC$9382))), 0)), "")</f>
        <v/>
      </c>
      <c r="W224" s="228">
        <f>IF(AND(AA224&lt;&gt;"", AB224&lt;&gt;""), 2, IF(OR(AA224&lt;&gt;"", AB224&lt;&gt;""), 1, 0))</f>
        <v/>
      </c>
      <c r="X224" s="228" t="n"/>
      <c r="Y224" s="390">
        <f>IF(OR(S224="STAR", W224="", X224=""), W224,
"總數：" &amp; W224 &amp; CHAR(10) &amp;
"已維修：" &amp; X224 &amp; CHAR(10) &amp;
"未更換：" &amp; (W224 - X224))</f>
        <v/>
      </c>
      <c r="Z224" s="221">
        <f>IF(VLOOKUP(A224,'0919門市清單主檔'!B:AC,28,FALSE)=0,"",VLOOKUP(A224,'0919門市清單主檔'!B:AC,28,FALSE))</f>
        <v/>
      </c>
      <c r="AA224" s="326" t="n"/>
      <c r="AB224" s="167" t="n"/>
      <c r="AC224" s="167" t="inlineStr">
        <is>
          <t>STAR</t>
        </is>
      </c>
    </row>
    <row r="225" ht="21.6" customHeight="1" s="105">
      <c r="A225" s="128" t="n">
        <v>4093</v>
      </c>
      <c r="B225" s="129">
        <f>VLOOKUP(A225,'0919門市清單主檔'!B:C,2,FALSE)</f>
        <v/>
      </c>
      <c r="C225" s="130">
        <f>VLOOKUP($A225,'0919門市清單主檔'!B:V,20,FALSE)</f>
        <v/>
      </c>
      <c r="D225" s="131">
        <f>VLOOKUP($A225,'0919門市清單主檔'!B:V,21,FALSE)</f>
        <v/>
      </c>
      <c r="E225" s="280">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4">
        <f t="array" ref="J225">IFERROR(INDEX(IM!$AM$2:$AM$9333, MATCH(1, (IM!$F$2:$F$9333=A225) * (ISNUMBER(SEARCH($C$1, IM!$AC$2:$AC$9333))), 0)), "")</f>
        <v/>
      </c>
      <c r="K225" s="316">
        <f t="array" ref="K225">SUMPRODUCT((IM!$F$2:$F$9181=A225)*(IM!$AD$2:$AD$9181="O")*(ISNUMBER(SEARCH($C$1, IM!$AC$2:$AC$9181))))</f>
        <v/>
      </c>
      <c r="L225" s="330">
        <f t="array" ref="L225">IF(K225&gt;0,IFERROR(HYPERLINK("#'IM'!AC"&amp;MATCH(1,(IM!$F$1:$F$6881=A225)*(ISNUMBER(SEARCH($C$1,IM!$AC$1:$AC$6881))),0),"檢核"),"未登錄"),"")</f>
        <v/>
      </c>
      <c r="M225" s="394">
        <f>Q225&amp;IF(AND(S225&lt;&gt;"",AND(Q225&lt;&gt;"")),$P$2,"")&amp;S225&amp;IF(U225&lt;&gt;"",$P$2,"")&amp;U225</f>
        <v/>
      </c>
      <c r="N225" s="283">
        <f t="array" ref="N225">IF(AND(
    SUMPRODUCT(
        (IM!$F$2:$F$1181=A225) *
        ISNUMBER(SEARCH("*HUB*", IM!$AC$2:$AC$1181)) *
        (IM!$X$2:$X$1181&gt;=$A$1) *
        (IM!$X$2:$X$1181&lt;=$B$1)*(Z225="HUB")
    ) &gt; 0
), "HUB", "")</f>
        <v/>
      </c>
      <c r="O225" s="397">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4">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5">
        <f t="array" ref="V225">IFERROR(INDEX(IM!$AM$2:$AM$9382, MATCH(1, (IM!$F$2:$F$9382=A225) * (ISNUMBER(SEARCH($F$1, IM!$AC$2:$AC$9382))), 0)), "")</f>
        <v/>
      </c>
      <c r="W225" s="228">
        <f>IF(AND(AA225&lt;&gt;"", AB225&lt;&gt;""), 2, IF(OR(AA225&lt;&gt;"", AB225&lt;&gt;""), 1, 0))</f>
        <v/>
      </c>
      <c r="X225" s="228" t="n"/>
      <c r="Y225" s="390">
        <f>IF(OR(S225="STAR", W225="", X225=""), W225,
"總數：" &amp; W225 &amp; CHAR(10) &amp;
"已維修：" &amp; X225 &amp; CHAR(10) &amp;
"未更換：" &amp; (W225 - X225))</f>
        <v/>
      </c>
      <c r="Z225" s="221">
        <f>IF(VLOOKUP(A225,'0919門市清單主檔'!B:AC,28,FALSE)=0,"",VLOOKUP(A225,'0919門市清單主檔'!B:AC,28,FALSE))</f>
        <v/>
      </c>
      <c r="AA225" s="326" t="n"/>
      <c r="AB225" s="167" t="n"/>
      <c r="AC225" s="167" t="inlineStr">
        <is>
          <t>STAR</t>
        </is>
      </c>
    </row>
    <row r="226" ht="21.6" customHeight="1" s="105">
      <c r="A226" s="128" t="n">
        <v>4153</v>
      </c>
      <c r="B226" s="129">
        <f>VLOOKUP(A226,'0919門市清單主檔'!B:C,2,FALSE)</f>
        <v/>
      </c>
      <c r="C226" s="130">
        <f>VLOOKUP($A226,'0919門市清單主檔'!B:V,20,FALSE)</f>
        <v/>
      </c>
      <c r="D226" s="131">
        <f>VLOOKUP($A226,'0919門市清單主檔'!B:V,21,FALSE)</f>
        <v/>
      </c>
      <c r="E226" s="280">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4">
        <f t="array" ref="J226">IFERROR(INDEX(IM!$AM$2:$AM$9333, MATCH(1, (IM!$F$2:$F$9333=A226) * (ISNUMBER(SEARCH($C$1, IM!$AC$2:$AC$9333))), 0)), "")</f>
        <v/>
      </c>
      <c r="K226" s="316">
        <f t="array" ref="K226">SUMPRODUCT((IM!$F$2:$F$9181=A226)*(IM!$AD$2:$AD$9181="O")*(ISNUMBER(SEARCH($C$1, IM!$AC$2:$AC$9181))))</f>
        <v/>
      </c>
      <c r="L226" s="330">
        <f t="array" ref="L226">IF(K226&gt;0,IFERROR(HYPERLINK("#'IM'!AC"&amp;MATCH(1,(IM!$F$1:$F$6881=A226)*(ISNUMBER(SEARCH($C$1,IM!$AC$1:$AC$6881))),0),"檢核"),"未登錄"),"")</f>
        <v/>
      </c>
      <c r="M226" s="394">
        <f>Q226&amp;IF(AND(S226&lt;&gt;"",AND(Q226&lt;&gt;"")),$P$2,"")&amp;S226&amp;IF(U226&lt;&gt;"",$P$2,"")&amp;U226</f>
        <v/>
      </c>
      <c r="N226" s="283">
        <f t="array" ref="N226">IF(AND(
    SUMPRODUCT(
        (IM!$F$2:$F$1181=A226) *
        ISNUMBER(SEARCH("*HUB*", IM!$AC$2:$AC$1181)) *
        (IM!$X$2:$X$1181&gt;=$A$1) *
        (IM!$X$2:$X$1181&lt;=$B$1)*(Z226="HUB")
    ) &gt; 0
), "HUB", "")</f>
        <v/>
      </c>
      <c r="O226" s="397">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4">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5">
        <f t="array" ref="V226">IFERROR(INDEX(IM!$AM$2:$AM$9382, MATCH(1, (IM!$F$2:$F$9382=A226) * (ISNUMBER(SEARCH($F$1, IM!$AC$2:$AC$9382))), 0)), "")</f>
        <v/>
      </c>
      <c r="W226" s="228">
        <f>IF(AND(AA226&lt;&gt;"", AB226&lt;&gt;""), 2, IF(OR(AA226&lt;&gt;"", AB226&lt;&gt;""), 1, 0))</f>
        <v/>
      </c>
      <c r="X226" s="228" t="n"/>
      <c r="Y226" s="390">
        <f>IF(OR(S226="STAR", W226="", X226=""), W226,
"總數：" &amp; W226 &amp; CHAR(10) &amp;
"已維修：" &amp; X226 &amp; CHAR(10) &amp;
"未更換：" &amp; (W226 - X226))</f>
        <v/>
      </c>
      <c r="Z226" s="221">
        <f>IF(VLOOKUP(A226,'0919門市清單主檔'!B:AC,28,FALSE)=0,"",VLOOKUP(A226,'0919門市清單主檔'!B:AC,28,FALSE))</f>
        <v/>
      </c>
      <c r="AA226" s="326" t="n"/>
      <c r="AB226" s="167" t="n"/>
      <c r="AC226" s="167" t="inlineStr">
        <is>
          <t>STAR</t>
        </is>
      </c>
    </row>
    <row r="227" ht="21.6" customHeight="1" s="105">
      <c r="A227" s="128" t="n">
        <v>4529</v>
      </c>
      <c r="B227" s="129">
        <f>VLOOKUP(A227,'0919門市清單主檔'!B:C,2,FALSE)</f>
        <v/>
      </c>
      <c r="C227" s="130">
        <f>VLOOKUP($A227,'0919門市清單主檔'!B:V,20,FALSE)</f>
        <v/>
      </c>
      <c r="D227" s="131">
        <f>VLOOKUP($A227,'0919門市清單主檔'!B:V,21,FALSE)</f>
        <v/>
      </c>
      <c r="E227" s="280">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4">
        <f t="array" ref="J227">IFERROR(INDEX(IM!$AM$2:$AM$9333, MATCH(1, (IM!$F$2:$F$9333=A227) * (ISNUMBER(SEARCH($C$1, IM!$AC$2:$AC$9333))), 0)), "")</f>
        <v/>
      </c>
      <c r="K227" s="316">
        <f t="array" ref="K227">SUMPRODUCT((IM!$F$2:$F$9181=A227)*(IM!$AD$2:$AD$9181="O")*(ISNUMBER(SEARCH($C$1, IM!$AC$2:$AC$9181))))</f>
        <v/>
      </c>
      <c r="L227" s="330">
        <f t="array" ref="L227">IF(K227&gt;0,IFERROR(HYPERLINK("#'IM'!AC"&amp;MATCH(1,(IM!$F$1:$F$6881=A227)*(ISNUMBER(SEARCH($C$1,IM!$AC$1:$AC$6881))),0),"檢核"),"未登錄"),"")</f>
        <v/>
      </c>
      <c r="M227" s="394">
        <f>Q227&amp;IF(AND(S227&lt;&gt;"",AND(Q227&lt;&gt;"")),$P$2,"")&amp;S227&amp;IF(U227&lt;&gt;"",$P$2,"")&amp;U227</f>
        <v/>
      </c>
      <c r="N227" s="283">
        <f t="array" ref="N227">IF(AND(
    SUMPRODUCT(
        (IM!$F$2:$F$1181=A227) *
        ISNUMBER(SEARCH("*HUB*", IM!$AC$2:$AC$1181)) *
        (IM!$X$2:$X$1181&gt;=$A$1) *
        (IM!$X$2:$X$1181&lt;=$B$1)*(Z227="HUB")
    ) &gt; 0
), "HUB", "")</f>
        <v/>
      </c>
      <c r="O227" s="397">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4">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5">
        <f t="array" ref="V227">IFERROR(INDEX(IM!$AM$2:$AM$9382, MATCH(1, (IM!$F$2:$F$9382=A227) * (ISNUMBER(SEARCH($F$1, IM!$AC$2:$AC$9382))), 0)), "")</f>
        <v/>
      </c>
      <c r="W227" s="228">
        <f>IF(AND(AA227&lt;&gt;"", AB227&lt;&gt;""), 2, IF(OR(AA227&lt;&gt;"", AB227&lt;&gt;""), 1, 0))</f>
        <v/>
      </c>
      <c r="X227" s="228" t="n"/>
      <c r="Y227" s="390">
        <f>IF(OR(S227="STAR", W227="", X227=""), W227,
"總數：" &amp; W227 &amp; CHAR(10) &amp;
"已維修：" &amp; X227 &amp; CHAR(10) &amp;
"未更換：" &amp; (W227 - X227))</f>
        <v/>
      </c>
      <c r="Z227" s="221">
        <f>IF(VLOOKUP(A227,'0919門市清單主檔'!B:AC,28,FALSE)=0,"",VLOOKUP(A227,'0919門市清單主檔'!B:AC,28,FALSE))</f>
        <v/>
      </c>
      <c r="AA227" s="326" t="n"/>
      <c r="AB227" s="167" t="n"/>
      <c r="AC227" s="167" t="inlineStr">
        <is>
          <t>STAR</t>
        </is>
      </c>
    </row>
    <row r="228" ht="21.6" customHeight="1" s="105">
      <c r="A228" s="128" t="n">
        <v>4802</v>
      </c>
      <c r="B228" s="129">
        <f>VLOOKUP(A228,'0919門市清單主檔'!B:C,2,FALSE)</f>
        <v/>
      </c>
      <c r="C228" s="130">
        <f>VLOOKUP($A228,'0919門市清單主檔'!B:V,20,FALSE)</f>
        <v/>
      </c>
      <c r="D228" s="131">
        <f>VLOOKUP($A228,'0919門市清單主檔'!B:V,21,FALSE)</f>
        <v/>
      </c>
      <c r="E228" s="280">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4">
        <f t="array" ref="J228">IFERROR(INDEX(IM!$AM$2:$AM$9333, MATCH(1, (IM!$F$2:$F$9333=A228) * (ISNUMBER(SEARCH($C$1, IM!$AC$2:$AC$9333))), 0)), "")</f>
        <v/>
      </c>
      <c r="K228" s="316">
        <f t="array" ref="K228">SUMPRODUCT((IM!$F$2:$F$9181=A228)*(IM!$AD$2:$AD$9181="O")*(ISNUMBER(SEARCH($C$1, IM!$AC$2:$AC$9181))))</f>
        <v/>
      </c>
      <c r="L228" s="330">
        <f t="array" ref="L228">IF(K228&gt;0,IFERROR(HYPERLINK("#'IM'!AC"&amp;MATCH(1,(IM!$F$1:$F$6881=A228)*(ISNUMBER(SEARCH($C$1,IM!$AC$1:$AC$6881))),0),"檢核"),"未登錄"),"")</f>
        <v/>
      </c>
      <c r="M228" s="394">
        <f>Q228&amp;IF(AND(S228&lt;&gt;"",AND(Q228&lt;&gt;"")),$P$2,"")&amp;S228&amp;IF(U228&lt;&gt;"",$P$2,"")&amp;U228</f>
        <v/>
      </c>
      <c r="N228" s="283">
        <f t="array" ref="N228">IF(AND(
    SUMPRODUCT(
        (IM!$F$2:$F$1181=A228) *
        ISNUMBER(SEARCH("*HUB*", IM!$AC$2:$AC$1181)) *
        (IM!$X$2:$X$1181&gt;=$A$1) *
        (IM!$X$2:$X$1181&lt;=$B$1)*(Z228="HUB")
    ) &gt; 0
), "HUB", "")</f>
        <v/>
      </c>
      <c r="O228" s="397">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4">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5">
        <f t="array" ref="V228">IFERROR(INDEX(IM!$AM$2:$AM$9382, MATCH(1, (IM!$F$2:$F$9382=A228) * (ISNUMBER(SEARCH($F$1, IM!$AC$2:$AC$9382))), 0)), "")</f>
        <v/>
      </c>
      <c r="W228" s="228">
        <f>IF(AND(AA228&lt;&gt;"", AB228&lt;&gt;""), 2, IF(OR(AA228&lt;&gt;"", AB228&lt;&gt;""), 1, 0))</f>
        <v/>
      </c>
      <c r="X228" s="228" t="n"/>
      <c r="Y228" s="390">
        <f>IF(OR(S228="STAR", W228="", X228=""), W228,
"總數：" &amp; W228 &amp; CHAR(10) &amp;
"已維修：" &amp; X228 &amp; CHAR(10) &amp;
"未更換：" &amp; (W228 - X228))</f>
        <v/>
      </c>
      <c r="Z228" s="221">
        <f>IF(VLOOKUP(A228,'0919門市清單主檔'!B:AC,28,FALSE)=0,"",VLOOKUP(A228,'0919門市清單主檔'!B:AC,28,FALSE))</f>
        <v/>
      </c>
      <c r="AA228" s="326" t="n"/>
      <c r="AB228" s="167" t="n"/>
      <c r="AC228" s="167" t="n"/>
    </row>
    <row r="229" ht="21.6" customHeight="1" s="105">
      <c r="A229" s="128" t="n">
        <v>4983</v>
      </c>
      <c r="B229" s="129">
        <f>VLOOKUP(A229,'0919門市清單主檔'!B:C,2,FALSE)</f>
        <v/>
      </c>
      <c r="C229" s="130">
        <f>VLOOKUP($A229,'0919門市清單主檔'!B:V,20,FALSE)</f>
        <v/>
      </c>
      <c r="D229" s="131">
        <f>VLOOKUP($A229,'0919門市清單主檔'!B:V,21,FALSE)</f>
        <v/>
      </c>
      <c r="E229" s="280">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4">
        <f t="array" ref="J229">IFERROR(INDEX(IM!$AM$2:$AM$9333, MATCH(1, (IM!$F$2:$F$9333=A229) * (ISNUMBER(SEARCH($C$1, IM!$AC$2:$AC$9333))), 0)), "")</f>
        <v/>
      </c>
      <c r="K229" s="316">
        <f t="array" ref="K229">SUMPRODUCT((IM!$F$2:$F$9181=A229)*(IM!$AD$2:$AD$9181="O")*(ISNUMBER(SEARCH($C$1, IM!$AC$2:$AC$9181))))</f>
        <v/>
      </c>
      <c r="L229" s="330">
        <f t="array" ref="L229">IF(K229&gt;0,IFERROR(HYPERLINK("#'IM'!AC"&amp;MATCH(1,(IM!$F$1:$F$6881=A229)*(ISNUMBER(SEARCH($C$1,IM!$AC$1:$AC$6881))),0),"檢核"),"未登錄"),"")</f>
        <v/>
      </c>
      <c r="M229" s="394">
        <f>Q229&amp;IF(AND(S229&lt;&gt;"",AND(Q229&lt;&gt;"")),$P$2,"")&amp;S229&amp;IF(U229&lt;&gt;"",$P$2,"")&amp;U229</f>
        <v/>
      </c>
      <c r="N229" s="283">
        <f t="array" ref="N229">IF(AND(
    SUMPRODUCT(
        (IM!$F$2:$F$1181=A229) *
        ISNUMBER(SEARCH("*HUB*", IM!$AC$2:$AC$1181)) *
        (IM!$X$2:$X$1181&gt;=$A$1) *
        (IM!$X$2:$X$1181&lt;=$B$1)*(Z229="HUB")
    ) &gt; 0
), "HUB", "")</f>
        <v/>
      </c>
      <c r="O229" s="397">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4">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5">
        <f t="array" ref="V229">IFERROR(INDEX(IM!$AM$2:$AM$9382, MATCH(1, (IM!$F$2:$F$9382=A229) * (ISNUMBER(SEARCH($F$1, IM!$AC$2:$AC$9382))), 0)), "")</f>
        <v/>
      </c>
      <c r="W229" s="228">
        <f>IF(AND(AA229&lt;&gt;"", AB229&lt;&gt;""), 2, IF(OR(AA229&lt;&gt;"", AB229&lt;&gt;""), 1, 0))</f>
        <v/>
      </c>
      <c r="X229" s="228" t="n"/>
      <c r="Y229" s="390">
        <f>IF(OR(S229="STAR", W229="", X229=""), W229,
"總數：" &amp; W229 &amp; CHAR(10) &amp;
"已維修：" &amp; X229 &amp; CHAR(10) &amp;
"未更換：" &amp; (W229 - X229))</f>
        <v/>
      </c>
      <c r="Z229" s="221">
        <f>IF(VLOOKUP(A229,'0919門市清單主檔'!B:AC,28,FALSE)=0,"",VLOOKUP(A229,'0919門市清單主檔'!B:AC,28,FALSE))</f>
        <v/>
      </c>
      <c r="AA229" s="326" t="n"/>
      <c r="AB229" s="167" t="n"/>
      <c r="AC229" s="167" t="n"/>
    </row>
    <row r="230" ht="21.6" customHeight="1" s="105">
      <c r="A230" s="128" t="n">
        <v>3183</v>
      </c>
      <c r="B230" s="129">
        <f>VLOOKUP(A230,'0919門市清單主檔'!B:C,2,FALSE)</f>
        <v/>
      </c>
      <c r="C230" s="130">
        <f>VLOOKUP($A230,'0919門市清單主檔'!B:V,20,FALSE)</f>
        <v/>
      </c>
      <c r="D230" s="131">
        <f>VLOOKUP($A230,'0919門市清單主檔'!B:V,21,FALSE)</f>
        <v/>
      </c>
      <c r="E230" s="280">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4">
        <f t="array" ref="J230">IFERROR(INDEX(IM!$AM$2:$AM$9333, MATCH(1, (IM!$F$2:$F$9333=A230) * (ISNUMBER(SEARCH($C$1, IM!$AC$2:$AC$9333))), 0)), "")</f>
        <v/>
      </c>
      <c r="K230" s="316">
        <f t="array" ref="K230">SUMPRODUCT((IM!$F$2:$F$9181=A230)*(IM!$AD$2:$AD$9181="O")*(ISNUMBER(SEARCH($C$1, IM!$AC$2:$AC$9181))))</f>
        <v/>
      </c>
      <c r="L230" s="330">
        <f t="array" ref="L230">IF(K230&gt;0,IFERROR(HYPERLINK("#'IM'!AC"&amp;MATCH(1,(IM!$F$1:$F$6881=A230)*(ISNUMBER(SEARCH($C$1,IM!$AC$1:$AC$6881))),0),"檢核"),"未登錄"),"")</f>
        <v/>
      </c>
      <c r="M230" s="394">
        <f>Q230&amp;IF(AND(S230&lt;&gt;"",AND(Q230&lt;&gt;"")),$P$2,"")&amp;S230&amp;IF(U230&lt;&gt;"",$P$2,"")&amp;U230</f>
        <v/>
      </c>
      <c r="N230" s="283">
        <f t="array" ref="N230">IF(AND(
    SUMPRODUCT(
        (IM!$F$2:$F$1181=A230) *
        ISNUMBER(SEARCH("*HUB*", IM!$AC$2:$AC$1181)) *
        (IM!$X$2:$X$1181&gt;=$A$1) *
        (IM!$X$2:$X$1181&lt;=$B$1)*(Z230="HUB")
    ) &gt; 0
), "HUB", "")</f>
        <v/>
      </c>
      <c r="O230" s="397">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4">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5">
        <f t="array" ref="V230">IFERROR(INDEX(IM!$AM$2:$AM$9382, MATCH(1, (IM!$F$2:$F$9382=A230) * (ISNUMBER(SEARCH($F$1, IM!$AC$2:$AC$9382))), 0)), "")</f>
        <v/>
      </c>
      <c r="W230" s="228">
        <f>IF(AND(AA230&lt;&gt;"", AB230&lt;&gt;""), 2, IF(OR(AA230&lt;&gt;"", AB230&lt;&gt;""), 1, 0))</f>
        <v/>
      </c>
      <c r="X230" s="228" t="n"/>
      <c r="Y230" s="390">
        <f>IF(OR(S230="STAR", W230="", X230=""), W230,
"總數：" &amp; W230 &amp; CHAR(10) &amp;
"已維修：" &amp; X230 &amp; CHAR(10) &amp;
"未更換：" &amp; (W230 - X230))</f>
        <v/>
      </c>
      <c r="Z230" s="221">
        <f>IF(VLOOKUP(A230,'0919門市清單主檔'!B:AC,28,FALSE)=0,"",VLOOKUP(A230,'0919門市清單主檔'!B:AC,28,FALSE))</f>
        <v/>
      </c>
      <c r="AA230" s="326" t="n"/>
      <c r="AB230" s="167" t="n"/>
      <c r="AC230" s="167" t="inlineStr">
        <is>
          <t>STAR</t>
        </is>
      </c>
    </row>
    <row r="231" ht="21.6" customHeight="1" s="105">
      <c r="A231" s="388" t="n">
        <v>4218</v>
      </c>
      <c r="B231" s="129">
        <f>VLOOKUP(A231,'0919門市清單主檔'!B:C,2,FALSE)</f>
        <v/>
      </c>
      <c r="C231" s="140">
        <f>VLOOKUP($A231,'0919門市清單主檔'!B:V,20,FALSE)</f>
        <v/>
      </c>
      <c r="D231" s="141">
        <f>VLOOKUP($A231,'0919門市清單主檔'!B:V,21,FALSE)</f>
        <v/>
      </c>
      <c r="E231" s="280">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4">
        <f t="array" ref="J231">IFERROR(INDEX(IM!$AM$2:$AM$9333, MATCH(1, (IM!$F$2:$F$9333=A231) * (ISNUMBER(SEARCH($C$1, IM!$AC$2:$AC$9333))), 0)), "")</f>
        <v/>
      </c>
      <c r="K231" s="316">
        <f t="array" ref="K231">SUMPRODUCT((IM!$F$2:$F$9181=A231)*(IM!$AD$2:$AD$9181="O")*(ISNUMBER(SEARCH($C$1, IM!$AC$2:$AC$9181))))</f>
        <v/>
      </c>
      <c r="L231" s="330">
        <f t="array" ref="L231">IF(K231&gt;0,IFERROR(HYPERLINK("#'IM'!AC"&amp;MATCH(1,(IM!$F$1:$F$6881=A231)*(ISNUMBER(SEARCH($C$1,IM!$AC$1:$AC$6881))),0),"檢核"),"未登錄"),"")</f>
        <v/>
      </c>
      <c r="M231" s="394">
        <f>Q231&amp;IF(AND(S231&lt;&gt;"",AND(Q231&lt;&gt;"")),$P$2,"")&amp;S231&amp;IF(U231&lt;&gt;"",$P$2,"")&amp;U231</f>
        <v/>
      </c>
      <c r="N231" s="283">
        <f t="array" ref="N231">IF(AND(
    SUMPRODUCT(
        (IM!$F$2:$F$1181=A231) *
        ISNUMBER(SEARCH("*HUB*", IM!$AC$2:$AC$1181)) *
        (IM!$X$2:$X$1181&gt;=$A$1) *
        (IM!$X$2:$X$1181&lt;=$B$1)*(Z231="HUB")
    ) &gt; 0
), "HUB", "")</f>
        <v/>
      </c>
      <c r="O231" s="397">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4">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5">
        <f t="array" ref="V231">IFERROR(INDEX(IM!$AM$2:$AM$9382, MATCH(1, (IM!$F$2:$F$9382=A231) * (ISNUMBER(SEARCH($F$1, IM!$AC$2:$AC$9382))), 0)), "")</f>
        <v/>
      </c>
      <c r="W231" s="228">
        <f>IF(AND(AA231&lt;&gt;"", AB231&lt;&gt;""), 2, IF(OR(AA231&lt;&gt;"", AB231&lt;&gt;""), 1, 0))</f>
        <v/>
      </c>
      <c r="X231" s="228" t="n"/>
      <c r="Y231" s="390">
        <f>IF(OR(S231="STAR", W231="", X231=""), W231,
"總數：" &amp; W231 &amp; CHAR(10) &amp;
"已維修：" &amp; X231 &amp; CHAR(10) &amp;
"未更換：" &amp; (W231 - X231))</f>
        <v/>
      </c>
      <c r="Z231" s="221">
        <f>IF(VLOOKUP(A231,'0919門市清單主檔'!B:AC,28,FALSE)=0,"",VLOOKUP(A231,'0919門市清單主檔'!B:AC,28,FALSE))</f>
        <v/>
      </c>
      <c r="AA231" s="326" t="n"/>
      <c r="AB231" s="167" t="n"/>
      <c r="AC231" s="167" t="inlineStr">
        <is>
          <t>STAR</t>
        </is>
      </c>
    </row>
    <row r="232" ht="21.6" customFormat="1" customHeight="1" s="167">
      <c r="A232" s="207" t="n">
        <v>2535</v>
      </c>
      <c r="B232" s="129">
        <f>VLOOKUP(A232,'0919門市清單主檔'!B:C,2,FALSE)</f>
        <v/>
      </c>
      <c r="C232" s="143">
        <f>VLOOKUP($A232,'0919門市清單主檔'!B:V,20,FALSE)</f>
        <v/>
      </c>
      <c r="D232" s="143">
        <f>VLOOKUP($A232,'0919門市清單主檔'!B:V,21,FALSE)</f>
        <v/>
      </c>
      <c r="E232" s="280">
        <f>VLOOKUP(D232,門市狀態!G:H,2,FALSE)</f>
        <v/>
      </c>
      <c r="F232" s="132">
        <f>IFERROR(IF(VLOOKUP(A232,門市狀態!A:D,4,FALSE)=0,"",VLOOKUP(A232,門市狀態!A:D,4,FALSE)),"")</f>
        <v/>
      </c>
      <c r="G232" s="144" t="n"/>
      <c r="H232" s="134">
        <f>IF(I232&gt;0,(TEXT(I232,"yyyymmdd")&amp;$T$2&amp;A232&amp;$T$2&amp;B232&amp;$Q$2),"")</f>
        <v/>
      </c>
      <c r="I232" s="136">
        <f t="array" ref="I232">IF(AND(SUMPRODUCT((IM!$F$2:$F$1181=A232)*(ISNUMBER(SEARCH($C$1, IM!$AC$2:$AC$1181))))&gt;0), $C$1, "")</f>
        <v/>
      </c>
      <c r="J232" s="314">
        <f t="array" ref="J232">IFERROR(INDEX(IM!$AM$2:$AM$9333, MATCH(1, (IM!$F$2:$F$9333=A232) * (ISNUMBER(SEARCH($C$1, IM!$AC$2:$AC$9333))), 0)), "")</f>
        <v/>
      </c>
      <c r="K232" s="316">
        <f t="array" ref="K232">SUMPRODUCT((IM!$F$2:$F$9181=A232)*(IM!$AD$2:$AD$9181="O")*(ISNUMBER(SEARCH($C$1, IM!$AC$2:$AC$9181))))</f>
        <v/>
      </c>
      <c r="L232" s="330">
        <f t="array" ref="L232">IF(K232&gt;0,IFERROR(HYPERLINK("#'IM'!AC"&amp;MATCH(1,(IM!$F$1:$F$6881=A232)*(ISNUMBER(SEARCH($C$1,IM!$AC$1:$AC$6881))),0),"檢核"),"未登錄"),"")</f>
        <v/>
      </c>
      <c r="M232" s="394">
        <f>Q232&amp;IF(AND(S232&lt;&gt;"",AND(Q232&lt;&gt;"")),$P$2,"")&amp;S232&amp;IF(U232&lt;&gt;"",$P$2,"")&amp;U232</f>
        <v/>
      </c>
      <c r="N232" s="283">
        <f t="array" ref="N232">IF(AND(
    SUMPRODUCT(
        (IM!$F$2:$F$1181=A232) *
        ISNUMBER(SEARCH("*HUB*", IM!$AC$2:$AC$1181)) *
        (IM!$X$2:$X$1181&gt;=$A$1) *
        (IM!$X$2:$X$1181&lt;=$B$1)*(Z232="HUB")
    ) &gt; 0
), "HUB", "")</f>
        <v/>
      </c>
      <c r="O232" s="397">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4">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5">
        <f t="array" ref="V232">IFERROR(INDEX(IM!$AM$2:$AM$9382, MATCH(1, (IM!$F$2:$F$9382=A232) * (ISNUMBER(SEARCH($F$1, IM!$AC$2:$AC$9382))), 0)), "")</f>
        <v/>
      </c>
      <c r="W232" s="228">
        <f>IF(AND(AA232&lt;&gt;"", AB232&lt;&gt;""), 2, IF(OR(AA232&lt;&gt;"", AB232&lt;&gt;""), 1, 0))</f>
        <v/>
      </c>
      <c r="X232" s="228" t="n"/>
      <c r="Y232" s="390">
        <f>IF(OR(S232="STAR", W232="", X232=""), W232,
"總數：" &amp; W232 &amp; CHAR(10) &amp;
"已維修：" &amp; X232 &amp; CHAR(10) &amp;
"未更換：" &amp; (W232 - X232))</f>
        <v/>
      </c>
      <c r="Z232" s="221">
        <f>IF(VLOOKUP(A232,'0919門市清單主檔'!B:AC,28,FALSE)=0,"",VLOOKUP(A232,'0919門市清單主檔'!B:AC,28,FALSE))</f>
        <v/>
      </c>
      <c r="AA232" s="326" t="n"/>
      <c r="AC232" s="167" t="inlineStr">
        <is>
          <t>STAR</t>
        </is>
      </c>
      <c r="AD232" s="166" t="n"/>
    </row>
    <row r="233" ht="21.6" customFormat="1" customHeight="1" s="167">
      <c r="A233" s="207" t="n">
        <v>3551</v>
      </c>
      <c r="B233" s="129">
        <f>VLOOKUP(A233,'0919門市清單主檔'!B:C,2,FALSE)</f>
        <v/>
      </c>
      <c r="C233" s="143">
        <f>VLOOKUP($A233,'0919門市清單主檔'!B:V,20,FALSE)</f>
        <v/>
      </c>
      <c r="D233" s="143">
        <f>VLOOKUP($A233,'0919門市清單主檔'!B:V,21,FALSE)</f>
        <v/>
      </c>
      <c r="E233" s="280">
        <f>VLOOKUP(D233,門市狀態!G:H,2,FALSE)</f>
        <v/>
      </c>
      <c r="F233" s="132">
        <f>IFERROR(IF(VLOOKUP(A233,門市狀態!A:D,4,FALSE)=0,"",VLOOKUP(A233,門市狀態!A:D,4,FALSE)),"")</f>
        <v/>
      </c>
      <c r="G233" s="144" t="n"/>
      <c r="H233" s="134">
        <f>IF(I233&gt;0,(TEXT(I233,"yyyymmdd")&amp;$T$2&amp;A233&amp;$T$2&amp;B233&amp;$Q$2),"")</f>
        <v/>
      </c>
      <c r="I233" s="136">
        <f t="array" ref="I233">IF(AND(SUMPRODUCT((IM!$F$2:$F$1181=A233)*(ISNUMBER(SEARCH($C$1, IM!$AC$2:$AC$1181))))&gt;0), $C$1, "")</f>
        <v/>
      </c>
      <c r="J233" s="314">
        <f t="array" ref="J233">IFERROR(INDEX(IM!$AM$2:$AM$9333, MATCH(1, (IM!$F$2:$F$9333=A233) * (ISNUMBER(SEARCH($C$1, IM!$AC$2:$AC$9333))), 0)), "")</f>
        <v/>
      </c>
      <c r="K233" s="316">
        <f t="array" ref="K233">SUMPRODUCT((IM!$F$2:$F$9181=A233)*(IM!$AD$2:$AD$9181="O")*(ISNUMBER(SEARCH($C$1, IM!$AC$2:$AC$9181))))</f>
        <v/>
      </c>
      <c r="L233" s="330">
        <f t="array" ref="L233">IF(K233&gt;0,IFERROR(HYPERLINK("#'IM'!AC"&amp;MATCH(1,(IM!$F$1:$F$6881=A233)*(ISNUMBER(SEARCH($C$1,IM!$AC$1:$AC$6881))),0),"檢核"),"未登錄"),"")</f>
        <v/>
      </c>
      <c r="M233" s="394">
        <f>Q233&amp;IF(AND(S233&lt;&gt;"",AND(Q233&lt;&gt;"")),$P$2,"")&amp;S233&amp;IF(U233&lt;&gt;"",$P$2,"")&amp;U233</f>
        <v/>
      </c>
      <c r="N233" s="283">
        <f t="array" ref="N233">IF(AND(
    SUMPRODUCT(
        (IM!$F$2:$F$1181=A233) *
        ISNUMBER(SEARCH("*HUB*", IM!$AC$2:$AC$1181)) *
        (IM!$X$2:$X$1181&gt;=$A$1) *
        (IM!$X$2:$X$1181&lt;=$B$1)*(Z233="HUB")
    ) &gt; 0
), "HUB", "")</f>
        <v/>
      </c>
      <c r="O233" s="397">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4">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5">
        <f t="array" ref="V233">IFERROR(INDEX(IM!$AM$2:$AM$9382, MATCH(1, (IM!$F$2:$F$9382=A233) * (ISNUMBER(SEARCH($F$1, IM!$AC$2:$AC$9382))), 0)), "")</f>
        <v/>
      </c>
      <c r="W233" s="228">
        <f>IF(AND(AA233&lt;&gt;"", AB233&lt;&gt;""), 2, IF(OR(AA233&lt;&gt;"", AB233&lt;&gt;""), 1, 0))</f>
        <v/>
      </c>
      <c r="X233" s="228" t="n"/>
      <c r="Y233" s="390">
        <f>IF(OR(S233="STAR", W233="", X233=""), W233,
"總數：" &amp; W233 &amp; CHAR(10) &amp;
"已維修：" &amp; X233 &amp; CHAR(10) &amp;
"未更換：" &amp; (W233 - X233))</f>
        <v/>
      </c>
      <c r="Z233" s="221">
        <f>IF(VLOOKUP(A233,'0919門市清單主檔'!B:AC,28,FALSE)=0,"",VLOOKUP(A233,'0919門市清單主檔'!B:AC,28,FALSE))</f>
        <v/>
      </c>
      <c r="AA233" s="326" t="n"/>
      <c r="AC233" s="167" t="inlineStr">
        <is>
          <t>STAR</t>
        </is>
      </c>
      <c r="AD233" s="166" t="n"/>
    </row>
    <row r="234" ht="21.6" customFormat="1" customHeight="1" s="428">
      <c r="A234" s="225" t="inlineStr">
        <is>
          <t>L516</t>
        </is>
      </c>
      <c r="B234" s="129">
        <f>VLOOKUP(A234,'0919門市清單主檔'!B:C,2,FALSE)</f>
        <v/>
      </c>
      <c r="C234" s="203">
        <f>VLOOKUP($A234,'0919門市清單主檔'!B:V,20,FALSE)</f>
        <v/>
      </c>
      <c r="D234" s="203">
        <f>VLOOKUP($A234,'0919門市清單主檔'!B:V,21,FALSE)</f>
        <v/>
      </c>
      <c r="E234" s="280">
        <f>VLOOKUP(D234,門市狀態!G:H,2,FALSE)</f>
        <v/>
      </c>
      <c r="F234" s="204">
        <f>IFERROR(IF(VLOOKUP(A234,門市狀態!A:D,4,FALSE)=0,"",VLOOKUP(A234,門市狀態!A:D,4,FALSE)),"")</f>
        <v/>
      </c>
      <c r="G234" s="205" t="inlineStr">
        <is>
          <t>萊到店 WebPOS</t>
        </is>
      </c>
      <c r="H234" s="206">
        <f>IF(I234&gt;0,(TEXT(I234,"yyyymmdd")&amp;$T$2&amp;A234&amp;$T$2&amp;B234&amp;$Q$2),"")</f>
        <v/>
      </c>
      <c r="I234" s="136">
        <f t="array" ref="I234">IF(AND(SUMPRODUCT((IM!$F$2:$F$1181=A234)*(ISNUMBER(SEARCH($C$1, IM!$AC$2:$AC$1181))))&gt;0), $C$1, "")</f>
        <v/>
      </c>
      <c r="J234" s="314">
        <f t="array" ref="J234">IFERROR(INDEX(IM!$AM$2:$AM$9333, MATCH(1, (IM!$F$2:$F$9333=A234) * (ISNUMBER(SEARCH($C$1, IM!$AC$2:$AC$9333))), 0)), "")</f>
        <v/>
      </c>
      <c r="K234" s="316">
        <f t="array" ref="K234">SUMPRODUCT((IM!$F$2:$F$9181=A234)*(IM!$AD$2:$AD$9181="O")*(ISNUMBER(SEARCH($C$1, IM!$AC$2:$AC$9181))))</f>
        <v/>
      </c>
      <c r="L234" s="330">
        <f t="array" ref="L234">IF(K234&gt;0,IFERROR(HYPERLINK("#'IM'!AC"&amp;MATCH(1,(IM!$F$1:$F$6881=A234)*(ISNUMBER(SEARCH($C$1,IM!$AC$1:$AC$6881))),0),"檢核"),"未登錄"),"")</f>
        <v/>
      </c>
      <c r="M234" s="394">
        <f>Q234&amp;IF(AND(S234&lt;&gt;"",AND(Q234&lt;&gt;"")),$P$2,"")&amp;S234&amp;IF(U234&lt;&gt;"",$P$2,"")&amp;U234</f>
        <v/>
      </c>
      <c r="N234" s="283">
        <f t="array" ref="N234">IF(AND(
    SUMPRODUCT(
        (IM!$F$2:$F$1181=A234) *
        ISNUMBER(SEARCH("*HUB*", IM!$AC$2:$AC$1181)) *
        (IM!$X$2:$X$1181&gt;=$A$1) *
        (IM!$X$2:$X$1181&lt;=$B$1)*(Z234="HUB")
    ) &gt; 0
), "HUB", "")</f>
        <v/>
      </c>
      <c r="O234" s="397">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4">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5">
        <f t="array" ref="V234">IFERROR(INDEX(IM!$AM$2:$AM$9382, MATCH(1, (IM!$F$2:$F$9382=A234) * (ISNUMBER(SEARCH($F$1, IM!$AC$2:$AC$9382))), 0)), "")</f>
        <v/>
      </c>
      <c r="W234" s="228">
        <f>IF(AND(AA234&lt;&gt;"", AB234&lt;&gt;""), 2, IF(OR(AA234&lt;&gt;"", AB234&lt;&gt;""), 1, 0))</f>
        <v/>
      </c>
      <c r="X234" s="228" t="n"/>
      <c r="Y234" s="390">
        <f>IF(OR(S234="STAR", W234="", X234=""), W234,
"總數：" &amp; W234 &amp; CHAR(10) &amp;
"已維修：" &amp; X234 &amp; CHAR(10) &amp;
"未更換：" &amp; (W234 - X234))</f>
        <v/>
      </c>
      <c r="Z234" s="221">
        <f>IF(VLOOKUP(A234,'0919門市清單主檔'!B:AC,28,FALSE)=0,"",VLOOKUP(A234,'0919門市清單主檔'!B:AC,28,FALSE))</f>
        <v/>
      </c>
      <c r="AA234" s="326" t="n"/>
      <c r="AC234" s="167" t="n"/>
    </row>
    <row r="235" ht="21.6" customFormat="1" customHeight="1" s="428">
      <c r="A235" s="424" t="inlineStr">
        <is>
          <t>TT01</t>
        </is>
      </c>
      <c r="B235" s="226">
        <f>VLOOKUP(A235,'0919門市清單主檔'!B:C,2,FALSE)</f>
        <v/>
      </c>
      <c r="C235" s="203">
        <f>VLOOKUP($A235,'0919門市清單主檔'!B:V,20,FALSE)</f>
        <v/>
      </c>
      <c r="D235" s="203">
        <f>VLOOKUP($A235,'0919門市清單主檔'!B:V,21,FALSE)</f>
        <v/>
      </c>
      <c r="E235" s="280">
        <f>VLOOKUP(D235,門市狀態!G:H,2,FALSE)</f>
        <v/>
      </c>
      <c r="F235" s="225">
        <f>IFERROR(IF(VLOOKUP(A235,門市狀態!A:D,4,FALSE)=0,"",VLOOKUP(A235,門市狀態!A:D,4,FALSE)),"")</f>
        <v/>
      </c>
      <c r="G235" s="205" t="inlineStr">
        <is>
          <t>訓練教室</t>
        </is>
      </c>
      <c r="H235" s="222">
        <f>IF(I235&gt;0,(TEXT(I235,"yyyymmdd")&amp;$T$2&amp;A235&amp;$T$2&amp;B235&amp;$Q$2),"")</f>
        <v/>
      </c>
      <c r="I235" s="136">
        <f t="array" ref="I235">IF(AND(SUMPRODUCT((IM!$F$2:$F$1181=A235)*(ISNUMBER(SEARCH($C$1, IM!$AC$2:$AC$1181))))&gt;0), $C$1, "")</f>
        <v/>
      </c>
      <c r="J235" s="314">
        <f t="array" ref="J235">IFERROR(INDEX(IM!$AM$2:$AM$9333, MATCH(1, (IM!$F$2:$F$9333=A235) * (ISNUMBER(SEARCH($C$1, IM!$AC$2:$AC$9333))), 0)), "")</f>
        <v/>
      </c>
      <c r="K235" s="316">
        <f t="array" ref="K235">SUMPRODUCT((IM!$F$2:$F$9181=A235)*(IM!$AD$2:$AD$9181="O")*(ISNUMBER(SEARCH($C$1, IM!$AC$2:$AC$9181))))</f>
        <v/>
      </c>
      <c r="L235" s="330">
        <f t="array" ref="L235">IF(K235&gt;0,IFERROR(HYPERLINK("#'IM'!AC"&amp;MATCH(1,(IM!$F$1:$F$6881=A235)*(ISNUMBER(SEARCH($C$1,IM!$AC$1:$AC$6881))),0),"檢核"),"未登錄"),"")</f>
        <v/>
      </c>
      <c r="M235" s="394">
        <f>Q235&amp;IF(AND(S235&lt;&gt;"",AND(Q235&lt;&gt;"")),$P$2,"")&amp;S235&amp;IF(U235&lt;&gt;"",$P$2,"")&amp;U235</f>
        <v/>
      </c>
      <c r="N235" s="283">
        <f t="array" ref="N235">IF(AND(
    SUMPRODUCT(
        (IM!$F$2:$F$1181=A235) *
        ISNUMBER(SEARCH("*HUB*", IM!$AC$2:$AC$1181)) *
        (IM!$X$2:$X$1181&gt;=$A$1) *
        (IM!$X$2:$X$1181&lt;=$B$1)*(Z235="HUB")
    ) &gt; 0
), "HUB", "")</f>
        <v/>
      </c>
      <c r="O235" s="397">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4">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5">
        <f t="array" ref="V235">IFERROR(INDEX(IM!$AM$2:$AM$9382, MATCH(1, (IM!$F$2:$F$9382=A235) * (ISNUMBER(SEARCH($F$1, IM!$AC$2:$AC$9382))), 0)), "")</f>
        <v/>
      </c>
      <c r="W235" s="228">
        <f>IF(AND(AA235&lt;&gt;"", AB235&lt;&gt;""), 2, IF(OR(AA235&lt;&gt;"", AB235&lt;&gt;""), 1, 0))</f>
        <v/>
      </c>
      <c r="X235" s="228" t="n"/>
      <c r="Y235" s="390">
        <f>IF(OR(S235="STAR", W235="", X235=""), W235,
"總數：" &amp; W235 &amp; CHAR(10) &amp;
"已維修：" &amp; X235 &amp; CHAR(10) &amp;
"未更換：" &amp; (W235 - X235))</f>
        <v/>
      </c>
      <c r="Z235" s="221">
        <f>IF(VLOOKUP(A235,'0919門市清單主檔'!B:AC,28,FALSE)=0,"",VLOOKUP(A235,'0919門市清單主檔'!B:AC,28,FALSE))</f>
        <v/>
      </c>
      <c r="AA235" s="326" t="n"/>
      <c r="AC235" s="167" t="inlineStr">
        <is>
          <t>STAR</t>
        </is>
      </c>
    </row>
    <row r="236" ht="21.6" customFormat="1" customHeight="1" s="428">
      <c r="A236" s="207" t="inlineStr">
        <is>
          <t>L501</t>
        </is>
      </c>
      <c r="B236" s="207">
        <f>VLOOKUP(A236,'0919門市清單主檔'!B:C,2,FALSE)</f>
        <v/>
      </c>
      <c r="C236" s="143">
        <f>VLOOKUP($A236,'0919門市清單主檔'!B:V,20,FALSE)</f>
        <v/>
      </c>
      <c r="D236" s="143">
        <f>VLOOKUP($A236,'0919門市清單主檔'!B:V,21,FALSE)</f>
        <v/>
      </c>
      <c r="E236" s="280">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4">
        <f t="array" ref="J236">IFERROR(INDEX(IM!$AM$2:$AM$9333, MATCH(1, (IM!$F$2:$F$9333=A236) * (ISNUMBER(SEARCH($C$1, IM!$AC$2:$AC$9333))), 0)), "")</f>
        <v/>
      </c>
      <c r="K236" s="316">
        <f t="array" ref="K236">SUMPRODUCT((IM!$F$2:$F$9181=A236)*(IM!$AD$2:$AD$9181="O")*(ISNUMBER(SEARCH($C$1, IM!$AC$2:$AC$9181))))</f>
        <v/>
      </c>
      <c r="L236" s="330">
        <f t="array" ref="L236">IF(K236&gt;0,IFERROR(HYPERLINK("#'IM'!AC"&amp;MATCH(1,(IM!$F$1:$F$6881=A236)*(ISNUMBER(SEARCH($C$1,IM!$AC$1:$AC$6881))),0),"檢核"),"未登錄"),"")</f>
        <v/>
      </c>
      <c r="M236" s="394">
        <f>Q236&amp;IF(AND(S236&lt;&gt;"",AND(Q236&lt;&gt;"")),$P$2,"")&amp;S236&amp;IF(U236&lt;&gt;"",$P$2,"")&amp;U236</f>
        <v/>
      </c>
      <c r="N236" s="283">
        <f t="array" ref="N236">IF(AND(
    SUMPRODUCT(
        (IM!$F$2:$F$1181=A236) *
        ISNUMBER(SEARCH("*HUB*", IM!$AC$2:$AC$1181)) *
        (IM!$X$2:$X$1181&gt;=$A$1) *
        (IM!$X$2:$X$1181&lt;=$B$1)*(Z236="HUB")
    ) &gt; 0
), "HUB", "")</f>
        <v/>
      </c>
      <c r="O236" s="397">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4">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5">
        <f t="array" ref="V236">IFERROR(INDEX(IM!$AM$2:$AM$9382, MATCH(1, (IM!$F$2:$F$9382=A236) * (ISNUMBER(SEARCH($F$1, IM!$AC$2:$AC$9382))), 0)), "")</f>
        <v/>
      </c>
      <c r="W236" s="228">
        <f>IF(AND(AA236&lt;&gt;"", AB236&lt;&gt;""), 2, IF(OR(AA236&lt;&gt;"", AB236&lt;&gt;""), 1, 0))</f>
        <v/>
      </c>
      <c r="X236" s="228" t="n"/>
      <c r="Y236" s="390">
        <f>IF(OR(S236="STAR", W236="", X236=""), W236,
"總數：" &amp; W236 &amp; CHAR(10) &amp;
"已維修：" &amp; X236 &amp; CHAR(10) &amp;
"未更換：" &amp; (W236 - X236))</f>
        <v/>
      </c>
      <c r="Z236" s="221">
        <f>IF(VLOOKUP(A236,'0919門市清單主檔'!B:AC,28,FALSE)=0,"",VLOOKUP(A236,'0919門市清單主檔'!B:AC,28,FALSE))</f>
        <v/>
      </c>
      <c r="AA236" s="326" t="n"/>
      <c r="AB236" s="227" t="n"/>
      <c r="AC236" s="167" t="n"/>
    </row>
    <row r="237" ht="21.6" customFormat="1" customHeight="1" s="428">
      <c r="A237" s="207" t="n">
        <v>5384</v>
      </c>
      <c r="B237" s="207">
        <f>VLOOKUP(A237,'0919門市清單主檔'!B:C,2,FALSE)</f>
        <v/>
      </c>
      <c r="C237" s="143">
        <f>VLOOKUP($A237,'0919門市清單主檔'!B:V,20,FALSE)</f>
        <v/>
      </c>
      <c r="D237" s="143">
        <f>VLOOKUP($A237,'0919門市清單主檔'!B:V,21,FALSE)</f>
        <v/>
      </c>
      <c r="E237" s="280">
        <f>VLOOKUP(D237,門市狀態!G:H,2,FALSE)</f>
        <v/>
      </c>
      <c r="F237" s="207">
        <f>IFERROR(IF(VLOOKUP(A237,門市狀態!A:D,4,FALSE)=0,"",VLOOKUP(A237,門市狀態!A:D,4,FALSE)),"")</f>
        <v/>
      </c>
      <c r="G237" s="144" t="n"/>
      <c r="H237" s="256">
        <f>IF(I237&gt;0,(TEXT(I237,"yyyymmdd")&amp;$T$2&amp;A237&amp;$T$2&amp;B237&amp;$Q$2),"")</f>
        <v/>
      </c>
      <c r="I237" s="312">
        <f t="array" ref="I237">IF(AND(SUMPRODUCT((IM!$F$2:$F$1181=A237)*(ISNUMBER(SEARCH($C$1, IM!$AC$2:$AC$1181))))&gt;0), $C$1, "")</f>
        <v/>
      </c>
      <c r="J237" s="282">
        <f t="array" ref="J237">IFERROR(INDEX(IM!$AM$2:$AM$9333, MATCH(1, (IM!$F$2:$F$9333=A237) * (ISNUMBER(SEARCH($C$1, IM!$AC$2:$AC$9333))), 0)), "")</f>
        <v/>
      </c>
      <c r="K237" s="317">
        <f t="array" ref="K237">SUMPRODUCT((IM!$F$2:$F$9181=A237)*(IM!$AD$2:$AD$9181="O")*(ISNUMBER(SEARCH($C$1, IM!$AC$2:$AC$9181))))</f>
        <v/>
      </c>
      <c r="L237" s="331">
        <f t="array" ref="L237">IF(K237&gt;0,IFERROR(HYPERLINK("#'IM'!AC"&amp;MATCH(1,(IM!$F$1:$F$6881=A237)*(ISNUMBER(SEARCH($C$1,IM!$AC$1:$AC$6881))),0),"檢核"),"未登錄"),"")</f>
        <v/>
      </c>
      <c r="M237" s="395">
        <f>Q237&amp;IF(AND(S237&lt;&gt;"",AND(Q237&lt;&gt;"")),$P$2,"")&amp;S237&amp;IF(U237&lt;&gt;"",$P$2,"")&amp;U237</f>
        <v/>
      </c>
      <c r="N237" s="283">
        <f t="array" ref="N237">IF(AND(
    SUMPRODUCT(
        (IM!$F$2:$F$1181=A237) *
        ISNUMBER(SEARCH("*HUB*", IM!$AC$2:$AC$1181)) *
        (IM!$X$2:$X$1181&gt;=$A$1) *
        (IM!$X$2:$X$1181&lt;=$B$1)*(Z237="HUB")
    ) &gt; 0
), "HUB", "")</f>
        <v/>
      </c>
      <c r="O237" s="39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5">
        <f t="array" ref="V237">IFERROR(INDEX(IM!$AM$2:$AM$9382, MATCH(1, (IM!$F$2:$F$9382=A237) * (ISNUMBER(SEARCH($F$1, IM!$AC$2:$AC$9382))), 0)), "")</f>
        <v/>
      </c>
      <c r="W237" s="228">
        <f>IF(AND(AA237&lt;&gt;"", AB237&lt;&gt;""), 2, IF(OR(AA237&lt;&gt;"", AB237&lt;&gt;""), 1, 0))</f>
        <v/>
      </c>
      <c r="X237" s="228" t="n"/>
      <c r="Y237" s="390">
        <f>IF(OR(S237="STAR", W237="", X237=""), W237,
"總數：" &amp; W237 &amp; CHAR(10) &amp;
"已維修：" &amp; X237 &amp; CHAR(10) &amp;
"未更換：" &amp; (W237 - X237))</f>
        <v/>
      </c>
      <c r="Z237" s="221">
        <f>IF(VLOOKUP(A237,'0919門市清單主檔'!B:AC,28,FALSE)=0,"",VLOOKUP(A237,'0919門市清單主檔'!B:AC,28,FALSE))</f>
        <v/>
      </c>
      <c r="AA237" s="326" t="n"/>
      <c r="AB237" s="227" t="n"/>
      <c r="AC237" s="167" t="n"/>
    </row>
    <row r="238" ht="21.6" customFormat="1" customHeight="1" s="428">
      <c r="A238" s="207" t="n">
        <v>5377</v>
      </c>
      <c r="B238" s="207">
        <f>VLOOKUP(A238,'0919門市清單主檔'!B:C,2,FALSE)</f>
        <v/>
      </c>
      <c r="C238" s="143">
        <f>VLOOKUP($A238,'0919門市清單主檔'!B:V,20,FALSE)</f>
        <v/>
      </c>
      <c r="D238" s="143">
        <f>VLOOKUP($A238,'0919門市清單主檔'!B:V,21,FALSE)</f>
        <v/>
      </c>
      <c r="E238" s="280">
        <f>VLOOKUP(D238,門市狀態!G:H,2,FALSE)</f>
        <v/>
      </c>
      <c r="F238" s="207">
        <f>IFERROR(IF(VLOOKUP(A238,門市狀態!A:D,4,FALSE)=0,"",VLOOKUP(A238,門市狀態!A:D,4,FALSE)),"")</f>
        <v/>
      </c>
      <c r="G238" s="144" t="n"/>
      <c r="H238" s="256">
        <f>IF(I238&gt;0,(TEXT(I238,"yyyymmdd")&amp;$T$2&amp;A238&amp;$T$2&amp;B238&amp;$Q$2),"")</f>
        <v/>
      </c>
      <c r="I238" s="312">
        <f t="array" ref="I238">IF(AND(SUMPRODUCT((IM!$F$2:$F$1181=A238)*(ISNUMBER(SEARCH($C$1, IM!$AC$2:$AC$1181))))&gt;0), $C$1, "")</f>
        <v/>
      </c>
      <c r="J238" s="282">
        <f t="array" ref="J238">IFERROR(INDEX(IM!$AM$2:$AM$9333, MATCH(1, (IM!$F$2:$F$9333=A238) * (ISNUMBER(SEARCH($C$1, IM!$AC$2:$AC$9333))), 0)), "")</f>
        <v/>
      </c>
      <c r="K238" s="317">
        <f t="array" ref="K238">SUMPRODUCT((IM!$F$2:$F$9181=A238)*(IM!$AD$2:$AD$9181="O")*(ISNUMBER(SEARCH($C$1, IM!$AC$2:$AC$9181))))</f>
        <v/>
      </c>
      <c r="L238" s="331">
        <f t="array" ref="L238">IF(K238&gt;0,IFERROR(HYPERLINK("#'IM'!AC"&amp;MATCH(1,(IM!$F$1:$F$6881=A238)*(ISNUMBER(SEARCH($C$1,IM!$AC$1:$AC$6881))),0),"檢核"),"未登錄"),"")</f>
        <v/>
      </c>
      <c r="M238" s="395">
        <f>Q238&amp;IF(AND(S238&lt;&gt;"",AND(Q238&lt;&gt;"")),$P$2,"")&amp;S238&amp;IF(U238&lt;&gt;"",$P$2,"")&amp;U238</f>
        <v/>
      </c>
      <c r="N238" s="319">
        <f t="array" ref="N238">IF(AND(
    SUMPRODUCT(
        (IM!$F$2:$F$1181=A238) *
        ISNUMBER(SEARCH("*HUB*", IM!$AC$2:$AC$1181)) *
        (IM!$X$2:$X$1181&gt;=$A$1) *
        (IM!$X$2:$X$1181&lt;=$B$1)*(Z238="HUB")
    ) &gt; 0
), "HUB", "")</f>
        <v/>
      </c>
      <c r="O238" s="39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2">
        <f t="array" ref="Q238">IF(AND(SUMPRODUCT((IM!$F$2:$F$1181=A238)*(ISNUMBER(SEARCH($D$1, IM!$AC$2:$AC$1181))))&gt;0), $D$1, "")</f>
        <v/>
      </c>
      <c r="R238" s="323">
        <f t="array" ref="R238">IFERROR(INDEX(IM!$AM$2:$AM$9382, MATCH(1, (IM!$F$2:$F$9382=A238) * (ISNUMBER(SEARCH($D$1, IM!$AC$2:$AC$9382))), 0)), "")</f>
        <v/>
      </c>
      <c r="S238" s="324">
        <f t="array" ref="S238">IF(AND(SUMPRODUCT((IM!$F$2:$F$1181=A238)*(ISNUMBER(SEARCH($E$1, IM!$AC$2:$AC$1181))))&gt;0), $E$1, "")</f>
        <v/>
      </c>
      <c r="T238" s="323">
        <f t="array" ref="T238">IFERROR(INDEX(IM!$AM$2:$AM$9382, MATCH(1, (IM!$F$2:$F$9382=A238) * (ISNUMBER(SEARCH($E$1, IM!$AC$2:$AC$9382))), 0)), "")</f>
        <v/>
      </c>
      <c r="U238" s="324">
        <f t="array" ref="U238">IF(AND(SUMPRODUCT((IM!$F$2:$F$1181=A238)*(ISNUMBER(SEARCH($F$1, IM!$AC$2:$AC$1181))))&gt;0), $F$1, "")</f>
        <v/>
      </c>
      <c r="V238" s="323">
        <f t="array" ref="V238">IFERROR(INDEX(IM!$AM$2:$AM$9382, MATCH(1, (IM!$F$2:$F$9382=A238) * (ISNUMBER(SEARCH($F$1, IM!$AC$2:$AC$9382))), 0)), "")</f>
        <v/>
      </c>
      <c r="W238" s="324">
        <f>IF(AND(AA238&lt;&gt;"", AB238&lt;&gt;""), 2, IF(OR(AA238&lt;&gt;"", AB238&lt;&gt;""), 1, 0))</f>
        <v/>
      </c>
      <c r="X238" s="324" t="n"/>
      <c r="Y238" s="391">
        <f>IF(OR(S238="STAR", W238="", X238=""), W238,
"總數：" &amp; W238 &amp; CHAR(10) &amp;
"已維修：" &amp; X238 &amp; CHAR(10) &amp;
"未更換：" &amp; (W238 - X238))</f>
        <v/>
      </c>
      <c r="Z238" s="392">
        <f>IF(VLOOKUP(A238,'0919門市清單主檔'!B:AC,28,FALSE)=0,"",VLOOKUP(A238,'0919門市清單主檔'!B:AC,28,FALSE))</f>
        <v/>
      </c>
      <c r="AA238" s="327" t="n"/>
      <c r="AB238" s="288"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7">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3">
      <formula>O25="完工已補裝"</formula>
    </cfRule>
    <cfRule type="expression" priority="56" dxfId="381">
      <formula>O25="已維修完工"</formula>
    </cfRule>
    <cfRule type="expression" priority="57" dxfId="381">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7">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3">
      <formula>O238="完工已補裝"</formula>
    </cfRule>
    <cfRule type="expression" priority="3" dxfId="381">
      <formula>O238="已維修完工"</formula>
    </cfRule>
    <cfRule type="expression" priority="4" dxfId="381">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7">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C10" sqref="C10"/>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1"/>
    <col width="11.5" bestFit="1" customWidth="1" style="230" min="12" max="12"/>
    <col width="9.69921875" customWidth="1" style="230" min="13" max="167"/>
    <col width="9.69921875" customWidth="1" style="230" min="168" max="16384"/>
  </cols>
  <sheetData>
    <row r="1">
      <c r="A1" s="238" t="inlineStr">
        <is>
          <t>保養代號</t>
        </is>
      </c>
      <c r="B1" s="238" t="inlineStr">
        <is>
          <t>專案 1</t>
        </is>
      </c>
      <c r="C1" s="238" t="inlineStr">
        <is>
          <t>專案 2</t>
        </is>
      </c>
      <c r="D1" s="238" t="inlineStr">
        <is>
          <t>專案 3</t>
        </is>
      </c>
      <c r="G1" s="0" t="inlineStr">
        <is>
          <t>09221343</t>
        </is>
      </c>
      <c r="H1" s="257" t="inlineStr">
        <is>
          <t>換季資料</t>
        </is>
      </c>
      <c r="I1" s="347" t="n">
        <v>45658</v>
      </c>
      <c r="J1" s="347" t="n">
        <v>46022</v>
      </c>
    </row>
    <row r="2">
      <c r="A2" s="237" t="inlineStr">
        <is>
          <t>PMQ3</t>
        </is>
      </c>
      <c r="B2" s="236" t="inlineStr">
        <is>
          <t>EDC</t>
        </is>
      </c>
      <c r="C2" s="351" t="inlineStr">
        <is>
          <t>PEP</t>
        </is>
      </c>
      <c r="D2" s="248" t="inlineStr">
        <is>
          <t>TVV</t>
        </is>
      </c>
      <c r="H2" s="257" t="inlineStr">
        <is>
          <t>月份</t>
        </is>
      </c>
      <c r="I2" s="230" t="n">
        <v>7</v>
      </c>
      <c r="J2" s="230" t="n">
        <v>8</v>
      </c>
      <c r="K2" s="230" t="n">
        <v>9</v>
      </c>
    </row>
    <row r="3">
      <c r="I3" s="257">
        <f>I2&amp;"月"</f>
        <v/>
      </c>
      <c r="J3" s="257">
        <f>J2&amp;"月"</f>
        <v/>
      </c>
      <c r="K3" s="257">
        <f>K2&amp;"月"</f>
        <v/>
      </c>
      <c r="L3" s="230" t="n">
        <v>10</v>
      </c>
    </row>
    <row r="4">
      <c r="A4" s="240" t="inlineStr">
        <is>
          <t>部門數量</t>
        </is>
      </c>
      <c r="B4" s="235" t="n"/>
      <c r="D4" s="231" t="n"/>
      <c r="H4" s="257" t="inlineStr">
        <is>
          <t>日期表</t>
        </is>
      </c>
      <c r="I4" s="195" t="n">
        <v>45839</v>
      </c>
      <c r="J4" s="195" t="n">
        <v>45870</v>
      </c>
      <c r="K4" s="195" t="n">
        <v>45901</v>
      </c>
      <c r="L4" s="347" t="n">
        <v>45931</v>
      </c>
      <c r="M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2" t="inlineStr">
        <is>
          <t>平均月工單</t>
        </is>
      </c>
      <c r="I7" s="332" t="inlineStr">
        <is>
          <t>PM</t>
        </is>
      </c>
      <c r="J7" s="332" t="inlineStr">
        <is>
          <t>新裝撤移</t>
        </is>
      </c>
      <c r="K7" s="332" t="inlineStr">
        <is>
          <t>其他</t>
        </is>
      </c>
      <c r="L7" s="332" t="inlineStr">
        <is>
          <t>MFP</t>
        </is>
      </c>
      <c r="M7" s="332" t="inlineStr">
        <is>
          <t>POS其他</t>
        </is>
      </c>
      <c r="N7" s="332" t="inlineStr">
        <is>
          <t>總計</t>
        </is>
      </c>
    </row>
    <row r="8">
      <c r="A8" s="240" t="inlineStr">
        <is>
          <t>季保養進度</t>
        </is>
      </c>
      <c r="B8" s="235" t="n"/>
      <c r="H8" s="332" t="inlineStr">
        <is>
          <t>湯家瑋</t>
        </is>
      </c>
      <c r="I8" s="230">
        <f>COUNTIFS(IM!S:S,H8,IM!AD:AD,"O")/I6</f>
        <v/>
      </c>
      <c r="J8" s="333">
        <f>COUNTIFS(IM!S:S,H8,IM!AE:AE,"O")/J6</f>
        <v/>
      </c>
      <c r="K8" s="333">
        <f>COUNTIFS(IM!S:S,H8,IM!AJ:AJ,"O")/K6</f>
        <v/>
      </c>
      <c r="N8" s="333" t="n"/>
    </row>
    <row r="9">
      <c r="A9" s="239" t="inlineStr">
        <is>
          <t>PMQ3 完工</t>
        </is>
      </c>
      <c r="B9" s="202" t="inlineStr">
        <is>
          <t>PM 完工數量</t>
        </is>
      </c>
      <c r="C9" s="202" t="inlineStr">
        <is>
          <t>PM剩餘門市</t>
        </is>
      </c>
      <c r="D9" s="239" t="inlineStr">
        <is>
          <t>HUB完工</t>
        </is>
      </c>
      <c r="H9" s="332" t="inlineStr">
        <is>
          <t>吳宗鴻</t>
        </is>
      </c>
      <c r="I9" s="230">
        <f>COUNTIFS(IM!S:S,H9,IM!AD:AD,"O")/I6</f>
        <v/>
      </c>
      <c r="J9" s="333">
        <f>COUNTIFS(IM!S:S,H9,IM!AE:AE,"O")/J6</f>
        <v/>
      </c>
      <c r="K9" s="333">
        <f>COUNTIFS(IM!S:S,H9,IM!AJ:AJ,"O")/K6</f>
        <v/>
      </c>
      <c r="N9" s="333"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4" t="inlineStr">
        <is>
          <t>HUB檢查</t>
        </is>
      </c>
    </row>
    <row r="19">
      <c r="A19" s="367" t="inlineStr">
        <is>
          <t>門市編號</t>
        </is>
      </c>
      <c r="B19" s="365" t="inlineStr">
        <is>
          <t>門市名稱</t>
        </is>
      </c>
      <c r="C19" s="365" t="inlineStr">
        <is>
          <t>異常原因</t>
        </is>
      </c>
      <c r="D19" s="365" t="inlineStr">
        <is>
          <t>完工確認</t>
        </is>
      </c>
    </row>
    <row r="20">
      <c r="A20" s="236" t="n">
        <v>4680</v>
      </c>
      <c r="B20" s="236">
        <f>IFERROR(VLOOKUP(A20,'0919門市清單主檔'!B:C,2,FALSE),"")</f>
        <v/>
      </c>
      <c r="C20" s="366" t="inlineStr">
        <is>
          <t>PING91不通無法連線HUB，其他線路正常</t>
        </is>
      </c>
      <c r="D20" s="236">
        <f>IFERROR(IF(VLOOKUP(A20,門市主檔!A:N,14,FALSE)="HUB","V","未完工"),"")</f>
        <v/>
      </c>
    </row>
    <row r="21">
      <c r="A21" s="236" t="n">
        <v>5341</v>
      </c>
      <c r="B21" s="236">
        <f>IFERROR(VLOOKUP(A21,'0919門市清單主檔'!B:C,2,FALSE),"")</f>
        <v/>
      </c>
      <c r="C21" s="366"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41"/>
  <sheetViews>
    <sheetView tabSelected="1" workbookViewId="0">
      <pane ySplit="1" topLeftCell="A2" activePane="bottomLeft" state="frozen"/>
      <selection pane="bottomLeft" activeCell="C5" sqref="C5"/>
    </sheetView>
  </sheetViews>
  <sheetFormatPr baseColWidth="8" defaultRowHeight="15.6"/>
  <cols>
    <col width="11.5" bestFit="1" customWidth="1" style="403"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410" min="7" max="7"/>
    <col width="6.5" customWidth="1" style="105" min="8" max="8"/>
    <col width="9.3984375" bestFit="1" customWidth="1" style="79" min="9" max="9"/>
  </cols>
  <sheetData>
    <row r="1" ht="23.4" customHeight="1" s="105">
      <c r="A1" s="406" t="inlineStr">
        <is>
          <t>date</t>
        </is>
      </c>
      <c r="B1" s="407" t="inlineStr">
        <is>
          <t>title</t>
        </is>
      </c>
      <c r="C1" s="407" t="inlineStr">
        <is>
          <t>屬性</t>
        </is>
      </c>
      <c r="D1" s="407" t="inlineStr">
        <is>
          <t>店編</t>
        </is>
      </c>
      <c r="E1" s="407" t="inlineStr">
        <is>
          <t>店名</t>
        </is>
      </c>
      <c r="F1" s="407" t="inlineStr">
        <is>
          <t>內容</t>
        </is>
      </c>
      <c r="G1" s="408" t="inlineStr">
        <is>
          <t>時間</t>
        </is>
      </c>
      <c r="H1" s="407" t="inlineStr">
        <is>
          <t>_</t>
        </is>
      </c>
      <c r="I1" s="407" t="inlineStr">
        <is>
          <t>異動標註</t>
        </is>
      </c>
    </row>
    <row r="2">
      <c r="A2" s="404" t="n"/>
      <c r="B2" s="405">
        <f>D2&amp;IF(AND(E2&lt;&gt;"",D2&lt;&gt;""),$H$1,"")&amp;E2&amp;$H$1&amp;F2&amp;IF(AND(G2&lt;&gt;"",F2&lt;&gt;""),$H$1,"")&amp;G2</f>
        <v/>
      </c>
      <c r="C2" s="405" t="n"/>
      <c r="D2" s="405" t="n"/>
      <c r="E2" s="405" t="n"/>
      <c r="F2" s="405" t="n"/>
      <c r="G2" s="409" t="n"/>
      <c r="H2" s="405" t="n"/>
    </row>
    <row r="3" customFormat="1" s="414">
      <c r="A3" s="412" t="n">
        <v>45933</v>
      </c>
      <c r="B3" s="405">
        <f>D3&amp;IF(AND(E3&lt;&gt;"",D3&lt;&gt;""),$H$1,"")&amp;E3&amp;$H$1&amp;F3&amp;IF(AND(G3&lt;&gt;"",F3&lt;&gt;""),$H$1,"")&amp;G3</f>
        <v/>
      </c>
      <c r="C3" s="416" t="inlineStr">
        <is>
          <t>吳宗鴻</t>
        </is>
      </c>
      <c r="D3" s="437" t="inlineStr">
        <is>
          <t>D195</t>
        </is>
      </c>
      <c r="E3" s="437" t="inlineStr">
        <is>
          <t>三重車路頭</t>
        </is>
      </c>
      <c r="F3" s="435" t="inlineStr">
        <is>
          <t>回裝</t>
        </is>
      </c>
      <c r="G3" s="436" t="inlineStr">
        <is>
          <t>11:00</t>
        </is>
      </c>
      <c r="H3" s="413" t="n"/>
      <c r="I3" s="102" t="n"/>
    </row>
    <row r="4" customFormat="1" s="414">
      <c r="A4" s="412" t="n">
        <v>45938</v>
      </c>
      <c r="B4" s="405">
        <f>D4&amp;IF(AND(E4&lt;&gt;"",D4&lt;&gt;""),$H$1,"")&amp;E4&amp;$H$1&amp;F4&amp;IF(AND(G4&lt;&gt;"",F4&lt;&gt;""),$H$1,"")&amp;G4</f>
        <v/>
      </c>
      <c r="C4" s="416" t="inlineStr">
        <is>
          <t>吳宗鴻</t>
        </is>
      </c>
      <c r="D4" s="437" t="inlineStr">
        <is>
          <t>D195</t>
        </is>
      </c>
      <c r="E4" s="437" t="inlineStr">
        <is>
          <t>三重車路頭</t>
        </is>
      </c>
      <c r="F4" s="437" t="inlineStr">
        <is>
          <t>裝潢撤店</t>
        </is>
      </c>
      <c r="G4" s="438" t="inlineStr">
        <is>
          <t>15:00</t>
        </is>
      </c>
      <c r="H4" s="413" t="n"/>
      <c r="I4" s="102" t="n"/>
    </row>
    <row r="5" customFormat="1" s="414">
      <c r="A5" s="412" t="n">
        <v>45965</v>
      </c>
      <c r="B5" s="405">
        <f>D5&amp;IF(AND(E5&lt;&gt;"",D5&lt;&gt;""),$H$1,"")&amp;E5&amp;$H$1&amp;F5&amp;IF(AND(G5&lt;&gt;"",F5&lt;&gt;""),$H$1,"")&amp;G5</f>
        <v/>
      </c>
      <c r="C5" s="415" t="inlineStr">
        <is>
          <t>湯家瑋</t>
        </is>
      </c>
      <c r="D5" s="413" t="n">
        <v>4210</v>
      </c>
      <c r="E5" s="435" t="inlineStr">
        <is>
          <t>三重福華店</t>
        </is>
      </c>
      <c r="F5" s="435" t="inlineStr">
        <is>
          <t>回裝</t>
        </is>
      </c>
      <c r="G5" s="436" t="inlineStr">
        <is>
          <t>11:00</t>
        </is>
      </c>
      <c r="H5" s="413" t="n"/>
      <c r="I5" s="102" t="n"/>
    </row>
    <row r="6" customFormat="1" s="414">
      <c r="A6" s="412" t="n">
        <v>45937</v>
      </c>
      <c r="B6" s="405">
        <f>D6&amp;IF(AND(E6&lt;&gt;"",D6&lt;&gt;""),$H$1,"")&amp;E6&amp;$H$1&amp;F6&amp;IF(AND(G6&lt;&gt;"",F6&lt;&gt;""),$H$1,"")&amp;G6</f>
        <v/>
      </c>
      <c r="C6" s="415" t="inlineStr">
        <is>
          <t>湯家瑋</t>
        </is>
      </c>
      <c r="D6" s="413" t="n">
        <v>4210</v>
      </c>
      <c r="E6" s="435" t="inlineStr">
        <is>
          <t>三重福華店</t>
        </is>
      </c>
      <c r="F6" s="435" t="inlineStr">
        <is>
          <t>裝潢撤店</t>
        </is>
      </c>
      <c r="G6" s="436" t="inlineStr">
        <is>
          <t>15:00</t>
        </is>
      </c>
      <c r="H6" s="413" t="n"/>
      <c r="I6" s="102" t="n"/>
    </row>
    <row r="7" customFormat="1" s="414">
      <c r="A7" s="419" t="n">
        <v>45926</v>
      </c>
      <c r="B7" s="405">
        <f>D7&amp;IF(AND(E7&lt;&gt;"",D7&lt;&gt;""),$H$1,"")&amp;E7&amp;$H$1&amp;F7&amp;IF(AND(G7&lt;&gt;"",F7&lt;&gt;""),$H$1,"")&amp;G7</f>
        <v/>
      </c>
      <c r="C7" s="433" t="inlineStr">
        <is>
          <t>V</t>
        </is>
      </c>
      <c r="D7" s="413" t="n"/>
      <c r="E7" s="433" t="inlineStr">
        <is>
          <t>台芝178</t>
        </is>
      </c>
      <c r="F7" s="433" t="inlineStr">
        <is>
          <t>POS上課</t>
        </is>
      </c>
      <c r="G7" s="434" t="inlineStr">
        <is>
          <t>09:30</t>
        </is>
      </c>
      <c r="H7" s="413" t="n"/>
      <c r="I7" s="102" t="n"/>
    </row>
    <row r="8" customFormat="1" s="414">
      <c r="A8" s="419" t="n">
        <v>45919</v>
      </c>
      <c r="B8" s="405">
        <f>D8&amp;IF(AND(E8&lt;&gt;"",D8&lt;&gt;""),$H$1,"")&amp;E8&amp;$H$1&amp;F8&amp;IF(AND(G8&lt;&gt;"",F8&lt;&gt;""),$H$1,"")&amp;G8</f>
        <v/>
      </c>
      <c r="C8" s="415" t="inlineStr">
        <is>
          <t>湯家瑋</t>
        </is>
      </c>
      <c r="D8" s="413" t="n"/>
      <c r="E8" s="418" t="inlineStr">
        <is>
          <t>內湖倉裝機</t>
        </is>
      </c>
      <c r="F8" s="418" t="inlineStr">
        <is>
          <t>全聯*1、善美的*4</t>
        </is>
      </c>
      <c r="G8" s="417" t="inlineStr">
        <is>
          <t>10:00</t>
        </is>
      </c>
      <c r="H8" s="413" t="n"/>
      <c r="I8" s="102" t="n"/>
    </row>
    <row r="9" customFormat="1" s="414">
      <c r="A9" s="412" t="n">
        <v>45908</v>
      </c>
      <c r="B9" s="405">
        <f>D9&amp;IF(AND(E9&lt;&gt;"",D9&lt;&gt;""),$H$1,"")&amp;E9&amp;$H$1&amp;F9&amp;IF(AND(G9&lt;&gt;"",F9&lt;&gt;""),$H$1,"")&amp;G9</f>
        <v/>
      </c>
      <c r="C9" s="416" t="inlineStr">
        <is>
          <t>吳宗鴻</t>
        </is>
      </c>
      <c r="D9" s="413" t="n">
        <v>5080</v>
      </c>
      <c r="E9" s="416" t="inlineStr">
        <is>
          <t>三芝楓愛林</t>
        </is>
      </c>
      <c r="F9" s="416" t="inlineStr">
        <is>
          <t>4G會勘</t>
        </is>
      </c>
      <c r="G9" s="417" t="inlineStr">
        <is>
          <t>10:00</t>
        </is>
      </c>
      <c r="H9" s="413" t="n"/>
      <c r="I9" s="102" t="n"/>
    </row>
    <row r="10" customFormat="1" s="414">
      <c r="A10" s="412" t="n">
        <v>45932</v>
      </c>
      <c r="B10" s="405">
        <f>D10&amp;IF(AND(E10&lt;&gt;"",D10&lt;&gt;""),$H$1,"")&amp;E10&amp;$H$1&amp;F10&amp;IF(AND(G10&lt;&gt;"",F10&lt;&gt;""),$H$1,"")&amp;G10</f>
        <v/>
      </c>
      <c r="C10" s="427" t="inlineStr">
        <is>
          <t>V</t>
        </is>
      </c>
      <c r="D10" s="413" t="n"/>
      <c r="E10" s="415" t="inlineStr">
        <is>
          <t>善美的</t>
        </is>
      </c>
      <c r="F10" s="415" t="inlineStr">
        <is>
          <t>4F、檢品、PC</t>
        </is>
      </c>
      <c r="G10" s="425" t="inlineStr">
        <is>
          <t>14:00</t>
        </is>
      </c>
      <c r="H10" s="413" t="n"/>
      <c r="I10" s="426" t="inlineStr">
        <is>
          <t>V</t>
        </is>
      </c>
    </row>
    <row r="11" customFormat="1" s="414">
      <c r="A11" s="412" t="n">
        <v>45925</v>
      </c>
      <c r="B11" s="405">
        <f>D11&amp;IF(AND(E11&lt;&gt;"",D11&lt;&gt;""),$H$1,"")&amp;E11&amp;$H$1&amp;F11&amp;IF(AND(G11&lt;&gt;"",F11&lt;&gt;""),$H$1,"")&amp;G11</f>
        <v/>
      </c>
      <c r="C11" s="427" t="inlineStr">
        <is>
          <t>V</t>
        </is>
      </c>
      <c r="D11" s="413" t="n"/>
      <c r="E11" s="415" t="inlineStr">
        <is>
          <t>善美的</t>
        </is>
      </c>
      <c r="F11" s="415" t="inlineStr">
        <is>
          <t>DC、生鮮</t>
        </is>
      </c>
      <c r="G11" s="425" t="inlineStr">
        <is>
          <t>10:00</t>
        </is>
      </c>
      <c r="H11" s="413" t="n"/>
      <c r="I11" s="426" t="inlineStr">
        <is>
          <t>V</t>
        </is>
      </c>
    </row>
    <row r="12" customFormat="1" s="414">
      <c r="A12" s="412" t="n">
        <v>45923</v>
      </c>
      <c r="B12" s="405">
        <f>D12&amp;IF(AND(E12&lt;&gt;"",D12&lt;&gt;""),$H$1,"")&amp;E12&amp;$H$1&amp;F12&amp;IF(AND(G12&lt;&gt;"",F12&lt;&gt;""),$H$1,"")&amp;G12</f>
        <v/>
      </c>
      <c r="C12" s="427" t="inlineStr">
        <is>
          <t>V</t>
        </is>
      </c>
      <c r="D12" s="413" t="n"/>
      <c r="E12" s="415" t="inlineStr">
        <is>
          <t>全聯實業</t>
        </is>
      </c>
      <c r="F12" s="415" t="inlineStr">
        <is>
          <t>蘆洲北二處</t>
        </is>
      </c>
      <c r="G12" s="425" t="inlineStr">
        <is>
          <t>10:00</t>
        </is>
      </c>
      <c r="H12" s="413" t="n"/>
      <c r="I12" s="426" t="inlineStr">
        <is>
          <t>V</t>
        </is>
      </c>
    </row>
    <row r="13" customFormat="1" s="414">
      <c r="A13" s="412" t="n">
        <v>45905</v>
      </c>
      <c r="B13" s="405">
        <f>D13&amp;IF(AND(E13&lt;&gt;"",D13&lt;&gt;""),$H$1,"")&amp;E13&amp;$H$1&amp;F13&amp;IF(AND(G13&lt;&gt;"",F13&lt;&gt;""),$H$1,"")&amp;G13</f>
        <v/>
      </c>
      <c r="C13" s="413" t="inlineStr">
        <is>
          <t>吳宗鴻</t>
        </is>
      </c>
      <c r="D13" s="413" t="n"/>
      <c r="E13" s="413" t="n"/>
      <c r="F13" s="413" t="inlineStr">
        <is>
          <t>小白保養</t>
        </is>
      </c>
      <c r="G13" s="411" t="n"/>
      <c r="H13" s="413" t="n"/>
      <c r="I13" s="102" t="n"/>
    </row>
    <row r="14">
      <c r="A14" s="404" t="inlineStr">
        <is>
          <t>2025-08-18</t>
        </is>
      </c>
      <c r="B14" s="405">
        <f>D14&amp;IF(AND(E14&lt;&gt;"",D14&lt;&gt;""),$H$1,"")&amp;E14&amp;$H$1&amp;F14&amp;IF(AND(G14&lt;&gt;"",F14&lt;&gt;""),$H$1,"")&amp;G14</f>
        <v/>
      </c>
      <c r="C14" s="405" t="inlineStr">
        <is>
          <t>狄澤洋</t>
        </is>
      </c>
      <c r="D14" s="405" t="n">
        <v>5384</v>
      </c>
      <c r="E14" s="405" t="inlineStr">
        <is>
          <t>板橋民生站</t>
        </is>
      </c>
      <c r="F14" s="405" t="inlineStr">
        <is>
          <t>PEP</t>
        </is>
      </c>
      <c r="G14" s="409" t="n"/>
      <c r="H14" s="405" t="n"/>
    </row>
    <row r="15">
      <c r="A15" s="404" t="inlineStr">
        <is>
          <t>2025-08-19</t>
        </is>
      </c>
      <c r="B15" s="405">
        <f>D15&amp;IF(AND(E15&lt;&gt;"",D15&lt;&gt;""),$H$1,"")&amp;E15&amp;$H$1&amp;F15&amp;IF(AND(G15&lt;&gt;"",F15&lt;&gt;""),$H$1,"")&amp;G15</f>
        <v/>
      </c>
      <c r="C15" s="405" t="inlineStr">
        <is>
          <t>湯家瑋</t>
        </is>
      </c>
      <c r="D15" s="405" t="n"/>
      <c r="E15" s="405" t="inlineStr">
        <is>
          <t>湯城</t>
        </is>
      </c>
      <c r="F15" s="405" t="inlineStr">
        <is>
          <t>4F*7</t>
        </is>
      </c>
      <c r="G15" s="409" t="inlineStr">
        <is>
          <t>10:00</t>
        </is>
      </c>
      <c r="H15" s="405" t="n"/>
    </row>
    <row r="16">
      <c r="A16" s="404" t="inlineStr">
        <is>
          <t>2025-08-20</t>
        </is>
      </c>
      <c r="B16" s="405">
        <f>D16&amp;IF(AND(E16&lt;&gt;"",D16&lt;&gt;""),$H$1,"")&amp;E16&amp;$H$1&amp;F16&amp;IF(AND(G16&lt;&gt;"",F16&lt;&gt;""),$H$1,"")&amp;G16</f>
        <v/>
      </c>
      <c r="C16" s="405" t="inlineStr">
        <is>
          <t>湯家瑋</t>
        </is>
      </c>
      <c r="D16" s="405" t="n">
        <v>5364</v>
      </c>
      <c r="E16" s="405" t="inlineStr">
        <is>
          <t>林口舊街店</t>
        </is>
      </c>
      <c r="F16" s="405" t="inlineStr">
        <is>
          <t>PEP</t>
        </is>
      </c>
      <c r="G16" s="409" t="n"/>
      <c r="H16" s="405" t="n"/>
    </row>
    <row r="17">
      <c r="A17" s="404" t="inlineStr">
        <is>
          <t>2025-08-21</t>
        </is>
      </c>
      <c r="B17" s="405">
        <f>D17&amp;IF(AND(E17&lt;&gt;"",D17&lt;&gt;""),$H$1,"")&amp;E17&amp;$H$1&amp;F17&amp;IF(AND(G17&lt;&gt;"",F17&lt;&gt;""),$H$1,"")&amp;G17</f>
        <v/>
      </c>
      <c r="C17" s="405" t="inlineStr">
        <is>
          <t>吳宗鴻</t>
        </is>
      </c>
      <c r="D17" s="405" t="n">
        <v>5245</v>
      </c>
      <c r="E17" s="405" t="inlineStr">
        <is>
          <t>三重護山店</t>
        </is>
      </c>
      <c r="F17" s="405" t="inlineStr">
        <is>
          <t>PEP</t>
        </is>
      </c>
      <c r="G17" s="409" t="n"/>
      <c r="H17" s="405" t="n"/>
    </row>
    <row r="18">
      <c r="A18" s="404" t="inlineStr">
        <is>
          <t>2025-08-21</t>
        </is>
      </c>
      <c r="B18" s="405">
        <f>D18&amp;IF(AND(E18&lt;&gt;"",D18&lt;&gt;""),$H$1,"")&amp;E18&amp;$H$1&amp;F18&amp;IF(AND(G18&lt;&gt;"",F18&lt;&gt;""),$H$1,"")&amp;G18</f>
        <v/>
      </c>
      <c r="C18" s="405" t="inlineStr">
        <is>
          <t>吳宗鴻</t>
        </is>
      </c>
      <c r="D18" s="405" t="n">
        <v>5352</v>
      </c>
      <c r="E18" s="405" t="inlineStr">
        <is>
          <t>重重陽店</t>
        </is>
      </c>
      <c r="F18" s="405" t="inlineStr">
        <is>
          <t>PEP</t>
        </is>
      </c>
      <c r="G18" s="409" t="n"/>
      <c r="H18" s="405" t="n"/>
    </row>
    <row r="19">
      <c r="A19" s="404" t="n">
        <v>45891</v>
      </c>
      <c r="B19" s="405">
        <f>D19&amp;IF(AND(E19&lt;&gt;"",D19&lt;&gt;""),$H$1,"")&amp;E19&amp;$H$1&amp;F19&amp;IF(AND(G19&lt;&gt;"",F19&lt;&gt;""),$H$1,"")&amp;G19</f>
        <v/>
      </c>
      <c r="C19" s="405" t="inlineStr">
        <is>
          <t>湯家瑋</t>
        </is>
      </c>
      <c r="D19" s="405" t="n">
        <v>5291</v>
      </c>
      <c r="E19" s="405" t="inlineStr">
        <is>
          <t>新莊國家置地</t>
        </is>
      </c>
      <c r="F19" s="405" t="inlineStr">
        <is>
          <t>PEP</t>
        </is>
      </c>
      <c r="G19" s="409" t="n"/>
      <c r="H19" s="405" t="n"/>
    </row>
    <row r="20">
      <c r="A20" s="404" t="n">
        <v>45891</v>
      </c>
      <c r="B20" s="405">
        <f>D20&amp;IF(AND(E20&lt;&gt;"",D20&lt;&gt;""),$H$1,"")&amp;E20&amp;$H$1&amp;F20&amp;IF(AND(G20&lt;&gt;"",F20&lt;&gt;""),$H$1,"")&amp;G20</f>
        <v/>
      </c>
      <c r="C20" s="405" t="inlineStr">
        <is>
          <t>吳宗鴻</t>
        </is>
      </c>
      <c r="D20" s="405" t="n">
        <v>5316</v>
      </c>
      <c r="E20" s="405" t="inlineStr">
        <is>
          <t>三重五常店</t>
        </is>
      </c>
      <c r="F20" s="405" t="inlineStr">
        <is>
          <t>PEP</t>
        </is>
      </c>
      <c r="G20" s="409" t="n"/>
      <c r="H20" s="405" t="n"/>
    </row>
    <row r="21">
      <c r="A21" s="404" t="n"/>
      <c r="B21" s="405">
        <f>D21&amp;IF(AND(E21&lt;&gt;"",D21&lt;&gt;""),$H$1,"")&amp;E21&amp;$H$1&amp;F21&amp;IF(AND(G21&lt;&gt;"",F21&lt;&gt;""),$H$1,"")&amp;G21</f>
        <v/>
      </c>
      <c r="C21" s="405" t="inlineStr">
        <is>
          <t>湯家瑋</t>
        </is>
      </c>
      <c r="D21" s="405" t="n"/>
      <c r="E21" s="405" t="inlineStr">
        <is>
          <t>湯城</t>
        </is>
      </c>
      <c r="F21" s="405" t="inlineStr">
        <is>
          <t>10F*6</t>
        </is>
      </c>
      <c r="G21" s="409" t="inlineStr">
        <is>
          <t>10:00</t>
        </is>
      </c>
      <c r="H21" s="405" t="n"/>
    </row>
    <row r="22">
      <c r="A22" s="404" t="inlineStr">
        <is>
          <t>2025-08-25</t>
        </is>
      </c>
      <c r="B22" s="405">
        <f>D22&amp;IF(AND(E22&lt;&gt;"",D22&lt;&gt;""),$H$1,"")&amp;E22&amp;$H$1&amp;F22&amp;IF(AND(G22&lt;&gt;"",F22&lt;&gt;""),$H$1,"")&amp;G22</f>
        <v/>
      </c>
      <c r="C22" s="405" t="inlineStr">
        <is>
          <t>吳宗鴻</t>
        </is>
      </c>
      <c r="D22" s="405" t="n">
        <v>4218</v>
      </c>
      <c r="E22" s="405" t="inlineStr">
        <is>
          <t>蘆洲湧蓮店</t>
        </is>
      </c>
      <c r="F22" s="405" t="inlineStr">
        <is>
          <t>裝撤</t>
        </is>
      </c>
      <c r="G22" s="409" t="inlineStr">
        <is>
          <t>15:00</t>
        </is>
      </c>
      <c r="H22" s="405" t="n"/>
    </row>
    <row r="23">
      <c r="A23" s="404" t="inlineStr">
        <is>
          <t>2025-08-26</t>
        </is>
      </c>
      <c r="B23" s="405">
        <f>D23&amp;IF(AND(E23&lt;&gt;"",D23&lt;&gt;""),$H$1,"")&amp;E23&amp;$H$1&amp;F23&amp;IF(AND(G23&lt;&gt;"",F23&lt;&gt;""),$H$1,"")&amp;G23</f>
        <v/>
      </c>
      <c r="C23" s="405" t="inlineStr">
        <is>
          <t>吳宗鴻</t>
        </is>
      </c>
      <c r="D23" s="405" t="n">
        <v>3929</v>
      </c>
      <c r="E23" s="405" t="inlineStr">
        <is>
          <t>蘆洲中山一</t>
        </is>
      </c>
      <c r="F23" s="405" t="inlineStr">
        <is>
          <t>裝撤</t>
        </is>
      </c>
      <c r="G23" s="409" t="inlineStr">
        <is>
          <t>15:00</t>
        </is>
      </c>
      <c r="H23" s="405" t="n"/>
    </row>
    <row r="24">
      <c r="A24" s="404" t="inlineStr">
        <is>
          <t>2025-08-26</t>
        </is>
      </c>
      <c r="B24" s="405">
        <f>D24&amp;IF(AND(E24&lt;&gt;"",D24&lt;&gt;""),$H$1,"")&amp;E24&amp;$H$1&amp;F24&amp;IF(AND(G24&lt;&gt;"",F24&lt;&gt;""),$H$1,"")&amp;G24</f>
        <v/>
      </c>
      <c r="C24" s="405" t="inlineStr">
        <is>
          <t>吳宗鴻</t>
        </is>
      </c>
      <c r="D24" s="405" t="n">
        <v>5341</v>
      </c>
      <c r="E24" s="405" t="inlineStr">
        <is>
          <t>蘆洲切仔麵</t>
        </is>
      </c>
      <c r="F24" s="405" t="inlineStr">
        <is>
          <t>PEP</t>
        </is>
      </c>
      <c r="G24" s="409" t="n"/>
      <c r="H24" s="405" t="n"/>
    </row>
    <row r="25">
      <c r="A25" s="404" t="inlineStr">
        <is>
          <t>2025-08-26</t>
        </is>
      </c>
      <c r="B25" s="405">
        <f>D25&amp;IF(AND(E25&lt;&gt;"",D25&lt;&gt;""),$H$1,"")&amp;E25&amp;$H$1&amp;F25&amp;IF(AND(G25&lt;&gt;"",F25&lt;&gt;""),$H$1,"")&amp;G25</f>
        <v/>
      </c>
      <c r="C25" s="405" t="inlineStr">
        <is>
          <t>吳宗鴻</t>
        </is>
      </c>
      <c r="D25" s="405" t="n">
        <v>5354</v>
      </c>
      <c r="E25" s="405" t="inlineStr">
        <is>
          <t>蘆洲希望店</t>
        </is>
      </c>
      <c r="F25" s="405" t="inlineStr">
        <is>
          <t>PEP</t>
        </is>
      </c>
      <c r="G25" s="409" t="n"/>
      <c r="H25" s="405" t="n"/>
    </row>
    <row r="26">
      <c r="A26" s="404" t="n"/>
      <c r="B26" s="405">
        <f>D26&amp;IF(AND(E26&lt;&gt;"",D26&lt;&gt;""),$H$1,"")&amp;E26&amp;$H$1&amp;F26&amp;IF(AND(G26&lt;&gt;"",F26&lt;&gt;""),$H$1,"")&amp;G26</f>
        <v/>
      </c>
      <c r="C26" s="405" t="inlineStr">
        <is>
          <t>湯家瑋</t>
        </is>
      </c>
      <c r="D26" s="405" t="n"/>
      <c r="E26" s="405" t="inlineStr">
        <is>
          <t>湯城</t>
        </is>
      </c>
      <c r="F26" s="405" t="inlineStr">
        <is>
          <t>4F*2、3F、2F、9F (撤4F*1)</t>
        </is>
      </c>
      <c r="G26" s="409" t="inlineStr">
        <is>
          <t>10:00</t>
        </is>
      </c>
      <c r="H26" s="405" t="n"/>
    </row>
    <row r="27">
      <c r="A27" s="404" t="inlineStr">
        <is>
          <t>2025-08-28</t>
        </is>
      </c>
      <c r="B27" s="405">
        <f>D27&amp;IF(AND(E27&lt;&gt;"",D27&lt;&gt;""),$H$1,"")&amp;E27&amp;$H$1&amp;F27&amp;IF(AND(G27&lt;&gt;"",F27&lt;&gt;""),$H$1,"")&amp;G27</f>
        <v/>
      </c>
      <c r="C27" s="405" t="inlineStr">
        <is>
          <t>吳宗鴻</t>
        </is>
      </c>
      <c r="D27" s="405" t="n">
        <v>2619</v>
      </c>
      <c r="E27" s="405" t="inlineStr">
        <is>
          <t>三重大榮店</t>
        </is>
      </c>
      <c r="F27" s="405" t="inlineStr">
        <is>
          <t>閉店</t>
        </is>
      </c>
      <c r="G27" s="409" t="inlineStr">
        <is>
          <t>15:00</t>
        </is>
      </c>
      <c r="H27" s="405" t="n"/>
    </row>
    <row r="28">
      <c r="A28" s="404" t="inlineStr">
        <is>
          <t>2025-08-29</t>
        </is>
      </c>
      <c r="B28" s="405">
        <f>D28&amp;IF(AND(E28&lt;&gt;"",D28&lt;&gt;""),$H$1,"")&amp;E28&amp;$H$1&amp;F28&amp;IF(AND(G28&lt;&gt;"",F28&lt;&gt;""),$H$1,"")&amp;G28</f>
        <v/>
      </c>
      <c r="C28" s="405" t="inlineStr">
        <is>
          <t>湯家瑋</t>
        </is>
      </c>
      <c r="D28" s="405" t="n"/>
      <c r="E28" s="405" t="inlineStr">
        <is>
          <t>內湖倉</t>
        </is>
      </c>
      <c r="F28" s="405" t="inlineStr">
        <is>
          <t>裝機*10</t>
        </is>
      </c>
      <c r="G28" s="409" t="inlineStr">
        <is>
          <t>10:00</t>
        </is>
      </c>
      <c r="H28" s="405" t="n"/>
    </row>
    <row r="29">
      <c r="A29" s="404" t="inlineStr">
        <is>
          <t>2025-09-02</t>
        </is>
      </c>
      <c r="B29" s="405">
        <f>D29&amp;IF(AND(E29&lt;&gt;"",D29&lt;&gt;""),$H$1,"")&amp;E29&amp;$H$1&amp;F29&amp;IF(AND(G29&lt;&gt;"",F29&lt;&gt;""),$H$1,"")&amp;G29</f>
        <v/>
      </c>
      <c r="C29" s="405" t="inlineStr">
        <is>
          <t>湯家瑋</t>
        </is>
      </c>
      <c r="D29" s="405" t="n"/>
      <c r="E29" s="405" t="inlineStr">
        <is>
          <t>台固媒體</t>
        </is>
      </c>
      <c r="F29" s="405" t="inlineStr">
        <is>
          <t>清機*2、新機*1</t>
        </is>
      </c>
      <c r="G29" s="409" t="inlineStr">
        <is>
          <t>10:00</t>
        </is>
      </c>
      <c r="H29" s="405" t="n"/>
    </row>
    <row r="30">
      <c r="A30" s="404" t="inlineStr">
        <is>
          <t>2025-09-03</t>
        </is>
      </c>
      <c r="B30" s="405">
        <f>D30&amp;IF(AND(E30&lt;&gt;"",D30&lt;&gt;""),$H$1,"")&amp;E30&amp;$H$1&amp;F30&amp;IF(AND(G30&lt;&gt;"",F30&lt;&gt;""),$H$1,"")&amp;G30</f>
        <v/>
      </c>
      <c r="C30" s="405" t="inlineStr">
        <is>
          <t>湯家瑋</t>
        </is>
      </c>
      <c r="D30" s="405" t="n"/>
      <c r="E30" s="405" t="inlineStr">
        <is>
          <t>永佳樂</t>
        </is>
      </c>
      <c r="F30" s="405" t="inlineStr">
        <is>
          <t>清機*1、新機*6</t>
        </is>
      </c>
      <c r="G30" s="409" t="inlineStr">
        <is>
          <t>10:00</t>
        </is>
      </c>
      <c r="H30" s="405" t="n"/>
    </row>
    <row r="31">
      <c r="A31" s="421" t="n">
        <v>45915</v>
      </c>
      <c r="B31" s="405">
        <f>D31&amp;IF(AND(E31&lt;&gt;"",D31&lt;&gt;""),$H$1,"")&amp;E31&amp;$H$1&amp;F31&amp;IF(AND(G31&lt;&gt;"",F31&lt;&gt;""),$H$1,"")&amp;G31</f>
        <v/>
      </c>
      <c r="C31" s="405" t="inlineStr">
        <is>
          <t>湯家瑋</t>
        </is>
      </c>
      <c r="D31" s="405" t="n">
        <v>3999</v>
      </c>
      <c r="E31" s="405" t="inlineStr">
        <is>
          <t>新莊福佑店</t>
        </is>
      </c>
      <c r="F31" s="405" t="inlineStr">
        <is>
          <t>回裝</t>
        </is>
      </c>
      <c r="G31" s="409" t="inlineStr">
        <is>
          <t>11:00</t>
        </is>
      </c>
      <c r="H31" s="405" t="n"/>
      <c r="I31" s="422" t="n"/>
    </row>
    <row r="32">
      <c r="A32" s="404" t="inlineStr">
        <is>
          <t>2025-09-09</t>
        </is>
      </c>
      <c r="B32" s="405">
        <f>D32&amp;IF(AND(E32&lt;&gt;"",D32&lt;&gt;""),$H$1,"")&amp;E32&amp;$H$1&amp;F32&amp;IF(AND(G32&lt;&gt;"",F32&lt;&gt;""),$H$1,"")&amp;G32</f>
        <v/>
      </c>
      <c r="C32" s="405" t="inlineStr">
        <is>
          <t>湯家瑋</t>
        </is>
      </c>
      <c r="D32" s="405" t="n"/>
      <c r="E32" s="405" t="inlineStr">
        <is>
          <t>凱擘新莊</t>
        </is>
      </c>
      <c r="F32" s="405" t="inlineStr">
        <is>
          <t>清機*1</t>
        </is>
      </c>
      <c r="G32" s="409" t="n"/>
      <c r="H32" s="405" t="n"/>
    </row>
    <row r="33">
      <c r="A33" s="404" t="inlineStr">
        <is>
          <t>2025-09-09</t>
        </is>
      </c>
      <c r="B33" s="405">
        <f>D33&amp;IF(AND(E33&lt;&gt;"",D33&lt;&gt;""),$H$1,"")&amp;E33&amp;$H$1&amp;F33&amp;IF(AND(G33&lt;&gt;"",F33&lt;&gt;""),$H$1,"")&amp;G33</f>
        <v/>
      </c>
      <c r="C33" s="405" t="inlineStr">
        <is>
          <t>湯家瑋</t>
        </is>
      </c>
      <c r="D33" s="405" t="n"/>
      <c r="E33" s="405" t="inlineStr">
        <is>
          <t>全聯節目中心</t>
        </is>
      </c>
      <c r="F33" s="405" t="inlineStr">
        <is>
          <t>新機*1</t>
        </is>
      </c>
      <c r="G33" s="409" t="n"/>
      <c r="H33" s="405" t="n"/>
    </row>
    <row r="34">
      <c r="A34" s="404" t="n">
        <v>45912</v>
      </c>
      <c r="B34" s="405">
        <f>D34&amp;IF(AND(E34&lt;&gt;"",D34&lt;&gt;""),$H$1,"")&amp;E34&amp;$H$1&amp;F34&amp;IF(AND(G34&lt;&gt;"",F34&lt;&gt;""),$H$1,"")&amp;G34</f>
        <v/>
      </c>
      <c r="C34" s="405" t="inlineStr">
        <is>
          <t>湯家瑋</t>
        </is>
      </c>
      <c r="D34" s="405" t="n"/>
      <c r="E34" s="405" t="inlineStr">
        <is>
          <t>全聯蘆洲</t>
        </is>
      </c>
      <c r="F34" s="405" t="inlineStr">
        <is>
          <t>清機*6、新機*1</t>
        </is>
      </c>
      <c r="G34" s="409" t="inlineStr">
        <is>
          <t>10:00</t>
        </is>
      </c>
      <c r="H34" s="405" t="n"/>
    </row>
    <row r="35">
      <c r="A35" s="404" t="n">
        <v>45931</v>
      </c>
      <c r="B35" s="420">
        <f>D35&amp;IF(AND(E35&lt;&gt;"",D35&lt;&gt;""),$H$1,"")&amp;E35&amp;$H$1&amp;F35&amp;IF(AND(G35&lt;&gt;"",F35&lt;&gt;""),$H$1,"")&amp;G35</f>
        <v/>
      </c>
      <c r="C35" s="423" t="inlineStr">
        <is>
          <t>V</t>
        </is>
      </c>
      <c r="D35" s="405" t="n">
        <v>5377</v>
      </c>
      <c r="E35" s="405" t="inlineStr">
        <is>
          <t>三重大智店</t>
        </is>
      </c>
      <c r="F35" s="405" t="inlineStr">
        <is>
          <t>新開</t>
        </is>
      </c>
      <c r="G35" s="409" t="inlineStr">
        <is>
          <t>11:00</t>
        </is>
      </c>
      <c r="H35" s="405" t="n"/>
      <c r="I35" s="422" t="n"/>
    </row>
    <row r="36">
      <c r="A36" s="421" t="n">
        <v>45924</v>
      </c>
      <c r="B36" s="405">
        <f>D36&amp;IF(AND(E36&lt;&gt;"",D36&lt;&gt;""),$H$1,"")&amp;E36&amp;$H$1&amp;F36&amp;IF(AND(G36&lt;&gt;"",F36&lt;&gt;""),$H$1,"")&amp;G36</f>
        <v/>
      </c>
      <c r="C36" s="405" t="inlineStr">
        <is>
          <t>吳宗鴻</t>
        </is>
      </c>
      <c r="D36" s="405" t="n">
        <v>4218</v>
      </c>
      <c r="E36" s="405" t="inlineStr">
        <is>
          <t>蘆洲湧蓮店</t>
        </is>
      </c>
      <c r="F36" s="405" t="inlineStr">
        <is>
          <t>回裝</t>
        </is>
      </c>
      <c r="G36" s="409" t="inlineStr">
        <is>
          <t>11:00</t>
        </is>
      </c>
      <c r="H36" s="405" t="n"/>
      <c r="I36" s="422" t="n"/>
    </row>
    <row r="37">
      <c r="A37" s="404" t="n">
        <v>45916</v>
      </c>
      <c r="B37" s="405">
        <f>D37&amp;IF(AND(E37&lt;&gt;"",D37&lt;&gt;""),$H$1,"")&amp;E37&amp;$H$1&amp;F37&amp;IF(AND(G37&lt;&gt;"",F37&lt;&gt;""),$H$1,"")&amp;G37</f>
        <v/>
      </c>
      <c r="C37" s="405" t="inlineStr">
        <is>
          <t>湯家瑋</t>
        </is>
      </c>
      <c r="D37" s="405" t="n"/>
      <c r="E37" s="405" t="inlineStr">
        <is>
          <t>永佳樂</t>
        </is>
      </c>
      <c r="F37" s="405" t="inlineStr">
        <is>
          <t>泰山異地備援使用永佳樂節目組</t>
        </is>
      </c>
      <c r="G37" s="409" t="n"/>
      <c r="H37" s="405" t="n"/>
    </row>
    <row r="38">
      <c r="A38" s="404" t="inlineStr">
        <is>
          <t>2025-09-17</t>
        </is>
      </c>
      <c r="B38" s="405">
        <f>D38&amp;IF(AND(E38&lt;&gt;"",D38&lt;&gt;""),$H$1,"")&amp;E38&amp;$H$1&amp;F38&amp;IF(AND(G38&lt;&gt;"",F38&lt;&gt;""),$H$1,"")&amp;G38</f>
        <v/>
      </c>
      <c r="C38" s="405" t="inlineStr">
        <is>
          <t>吳宗鴻</t>
        </is>
      </c>
      <c r="D38" s="405" t="n">
        <v>3929</v>
      </c>
      <c r="E38" s="405" t="inlineStr">
        <is>
          <t>蘆洲中山一</t>
        </is>
      </c>
      <c r="F38" s="405" t="inlineStr">
        <is>
          <t>回裝</t>
        </is>
      </c>
      <c r="G38" s="409" t="inlineStr">
        <is>
          <t>11:00</t>
        </is>
      </c>
      <c r="H38" s="405" t="n"/>
    </row>
    <row r="39">
      <c r="A39" s="404" t="n">
        <v>45891</v>
      </c>
      <c r="B39" s="405">
        <f>D39&amp;IF(AND(E39&lt;&gt;"",D39&lt;&gt;""),$H$1,"")&amp;E39&amp;$H$1&amp;F39&amp;IF(AND(G39&lt;&gt;"",F39&lt;&gt;""),$H$1,"")&amp;G39</f>
        <v/>
      </c>
      <c r="C39" s="405" t="inlineStr">
        <is>
          <t>吳宗鴻</t>
        </is>
      </c>
      <c r="D39" s="405" t="n">
        <v>5155</v>
      </c>
      <c r="E39" s="405" t="inlineStr">
        <is>
          <t>淡水魚市二</t>
        </is>
      </c>
      <c r="F39" s="405" t="inlineStr">
        <is>
          <t>臨時借機</t>
        </is>
      </c>
      <c r="G39" s="409" t="inlineStr">
        <is>
          <t>11:00</t>
        </is>
      </c>
      <c r="H39" s="405" t="n"/>
    </row>
    <row r="40">
      <c r="A40" s="404" t="n">
        <v>45897</v>
      </c>
      <c r="B40" s="405">
        <f>D40&amp;IF(AND(E40&lt;&gt;"",D40&lt;&gt;""),$H$1,"")&amp;E40&amp;$H$1&amp;F40&amp;IF(AND(G40&lt;&gt;"",F40&lt;&gt;""),$H$1,"")&amp;G40</f>
        <v/>
      </c>
      <c r="C40" s="405" t="inlineStr">
        <is>
          <t>湯家瑋</t>
        </is>
      </c>
      <c r="D40" s="405" t="n"/>
      <c r="E40" s="405" t="inlineStr">
        <is>
          <t>漢廷營造</t>
        </is>
      </c>
      <c r="F40" s="405" t="inlineStr">
        <is>
          <t>新交機</t>
        </is>
      </c>
      <c r="G40" s="409" t="inlineStr">
        <is>
          <t>14:00</t>
        </is>
      </c>
      <c r="H40" s="405" t="n"/>
    </row>
    <row r="41">
      <c r="A41" s="404" t="n">
        <v>45910</v>
      </c>
      <c r="B41" s="405">
        <f>D41&amp;IF(AND(E41&lt;&gt;"",D41&lt;&gt;""),$H$1,"")&amp;E41&amp;$H$1&amp;F41&amp;IF(AND(G41&lt;&gt;"",F41&lt;&gt;""),$H$1,"")&amp;G41</f>
        <v/>
      </c>
      <c r="C41" s="405" t="inlineStr">
        <is>
          <t>吳宗鴻</t>
        </is>
      </c>
      <c r="D41" s="405" t="n"/>
      <c r="E41" s="405" t="inlineStr">
        <is>
          <t>紅樹林有線電視</t>
        </is>
      </c>
      <c r="F41" s="405" t="inlineStr">
        <is>
          <t>清機*1、新機*2</t>
        </is>
      </c>
      <c r="G41" s="409" t="inlineStr">
        <is>
          <t>14:00</t>
        </is>
      </c>
      <c r="H41" s="405"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171"/>
  <sheetViews>
    <sheetView topLeftCell="M1" workbookViewId="0">
      <pane ySplit="1" topLeftCell="A1017" activePane="bottomLeft" state="frozen"/>
      <selection pane="bottomLeft" activeCell="P1030" sqref="P1030"/>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3" t="inlineStr">
        <is>
          <t>項次</t>
        </is>
      </c>
      <c r="B1" s="353" t="inlineStr">
        <is>
          <t>工作
類別</t>
        </is>
      </c>
      <c r="C1" s="353" t="inlineStr">
        <is>
          <t>台芝
工作案號</t>
        </is>
      </c>
      <c r="D1" s="353" t="inlineStr">
        <is>
          <t>客戶
工作案號</t>
        </is>
      </c>
      <c r="E1" s="353" t="inlineStr">
        <is>
          <t>案件類別</t>
        </is>
      </c>
      <c r="F1" s="353" t="inlineStr">
        <is>
          <t>門店編號</t>
        </is>
      </c>
      <c r="G1" s="353" t="inlineStr">
        <is>
          <t>門店名稱</t>
        </is>
      </c>
      <c r="H1" s="353" t="inlineStr">
        <is>
          <t>縣市鄉鎮</t>
        </is>
      </c>
      <c r="I1" s="353" t="inlineStr">
        <is>
          <t>報修時間</t>
        </is>
      </c>
      <c r="J1" s="353" t="inlineStr">
        <is>
          <t>星期</t>
        </is>
      </c>
      <c r="K1" s="353" t="inlineStr">
        <is>
          <t>時段</t>
        </is>
      </c>
      <c r="L1" s="353" t="inlineStr">
        <is>
          <t>報修類別
代碼</t>
        </is>
      </c>
      <c r="M1" s="353" t="inlineStr">
        <is>
          <t>報修類別</t>
        </is>
      </c>
      <c r="N1" s="353" t="inlineStr">
        <is>
          <t>報修項目代碼</t>
        </is>
      </c>
      <c r="O1" s="353" t="inlineStr">
        <is>
          <t>報修項目</t>
        </is>
      </c>
      <c r="P1" s="353" t="inlineStr">
        <is>
          <t>報修說明</t>
        </is>
      </c>
      <c r="Q1" s="353" t="inlineStr">
        <is>
          <t>設備號碼</t>
        </is>
      </c>
      <c r="R1" s="353" t="inlineStr">
        <is>
          <t>負責部門</t>
        </is>
      </c>
      <c r="S1" s="353" t="inlineStr">
        <is>
          <t>服務人員</t>
        </is>
      </c>
      <c r="T1" s="353" t="inlineStr">
        <is>
          <t>到場
次數</t>
        </is>
      </c>
      <c r="U1" s="353" t="inlineStr">
        <is>
          <t>完工
結果</t>
        </is>
      </c>
      <c r="V1" s="353" t="inlineStr">
        <is>
          <t>派修時間</t>
        </is>
      </c>
      <c r="W1" s="353" t="inlineStr">
        <is>
          <t>到場時間</t>
        </is>
      </c>
      <c r="X1" s="354" t="inlineStr">
        <is>
          <t>離場時間</t>
        </is>
      </c>
      <c r="Y1" s="353" t="inlineStr">
        <is>
          <t>完修時限</t>
        </is>
      </c>
      <c r="Z1" s="353" t="inlineStr">
        <is>
          <t>處理工時</t>
        </is>
      </c>
      <c r="AA1" s="353" t="inlineStr">
        <is>
          <t>逾時時間</t>
        </is>
      </c>
      <c r="AB1" s="353" t="inlineStr">
        <is>
          <t>結案類別</t>
        </is>
      </c>
      <c r="AC1" s="353" t="inlineStr">
        <is>
          <t>工作內容</t>
        </is>
      </c>
      <c r="AD1" s="353" t="inlineStr">
        <is>
          <t>保養</t>
        </is>
      </c>
      <c r="AE1" s="353" t="inlineStr">
        <is>
          <t>裝/換
徹機</t>
        </is>
      </c>
      <c r="AF1" s="353" t="inlineStr">
        <is>
          <t>耗材
自送</t>
        </is>
      </c>
      <c r="AG1" s="353" t="inlineStr">
        <is>
          <t>耗材
配送</t>
        </is>
      </c>
      <c r="AH1" s="353" t="inlineStr">
        <is>
          <t>發票
收款</t>
        </is>
      </c>
      <c r="AI1" s="353" t="inlineStr">
        <is>
          <t>合約
事宜</t>
        </is>
      </c>
      <c r="AJ1" s="353" t="inlineStr">
        <is>
          <t>其它</t>
        </is>
      </c>
      <c r="AK1" s="353" t="inlineStr">
        <is>
          <t>客戶
簽章</t>
        </is>
      </c>
      <c r="AL1" s="355" t="inlineStr">
        <is>
          <t>提取日期</t>
        </is>
      </c>
      <c r="AM1" s="356"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57">
        <f>DATEVALUE(TEXT(I2, "yyyy/mm/dd"))</f>
        <v/>
      </c>
      <c r="AM2" s="358">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57">
        <f>DATEVALUE(TEXT(I3, "yyyy/mm/dd"))</f>
        <v/>
      </c>
      <c r="AM3" s="358">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50"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59">
        <f>DATEVALUE(TEXT(I4, "yyyy/mm/dd"))</f>
        <v/>
      </c>
      <c r="AM4" s="358">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50"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59">
        <f>DATEVALUE(TEXT(I5, "yyyy/mm/dd"))</f>
        <v/>
      </c>
      <c r="AM5" s="358">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50"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59">
        <f>DATEVALUE(TEXT(I6, "yyyy/mm/dd"))</f>
        <v/>
      </c>
      <c r="AM6" s="358">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50"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59">
        <f>DATEVALUE(TEXT(I7, "yyyy/mm/dd"))</f>
        <v/>
      </c>
      <c r="AM7" s="358">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50"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59">
        <f>DATEVALUE(TEXT(I8, "yyyy/mm/dd"))</f>
        <v/>
      </c>
      <c r="AM8" s="358">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50"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59">
        <f>DATEVALUE(TEXT(I9, "yyyy/mm/dd"))</f>
        <v/>
      </c>
      <c r="AM9" s="358">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50"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59">
        <f>DATEVALUE(TEXT(I10, "yyyy/mm/dd"))</f>
        <v/>
      </c>
      <c r="AM10" s="358">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50"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59">
        <f>DATEVALUE(TEXT(I11, "yyyy/mm/dd"))</f>
        <v/>
      </c>
      <c r="AM11" s="358">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50"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59">
        <f>DATEVALUE(TEXT(I12, "yyyy/mm/dd"))</f>
        <v/>
      </c>
      <c r="AM12" s="358">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50"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59">
        <f>DATEVALUE(TEXT(I13, "yyyy/mm/dd"))</f>
        <v/>
      </c>
      <c r="AM13" s="358">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50"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59">
        <f>DATEVALUE(TEXT(I14, "yyyy/mm/dd"))</f>
        <v/>
      </c>
      <c r="AM14" s="358">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50"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59">
        <f>DATEVALUE(TEXT(I15, "yyyy/mm/dd"))</f>
        <v/>
      </c>
      <c r="AM15" s="358">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50"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59">
        <f>DATEVALUE(TEXT(I16, "yyyy/mm/dd"))</f>
        <v/>
      </c>
      <c r="AM16" s="358">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50"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59">
        <f>DATEVALUE(TEXT(I17, "yyyy/mm/dd"))</f>
        <v/>
      </c>
      <c r="AM17" s="358">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50"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59">
        <f>DATEVALUE(TEXT(I18, "yyyy/mm/dd"))</f>
        <v/>
      </c>
      <c r="AM18" s="358">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50"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59">
        <f>DATEVALUE(TEXT(I19, "yyyy/mm/dd"))</f>
        <v/>
      </c>
      <c r="AM19" s="358">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50"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59">
        <f>DATEVALUE(TEXT(I20, "yyyy/mm/dd"))</f>
        <v/>
      </c>
      <c r="AM20" s="358">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50"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59">
        <f>DATEVALUE(TEXT(I21, "yyyy/mm/dd"))</f>
        <v/>
      </c>
      <c r="AM21" s="358">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50"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59">
        <f>DATEVALUE(TEXT(I22, "yyyy/mm/dd"))</f>
        <v/>
      </c>
      <c r="AM22" s="358">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50"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59">
        <f>DATEVALUE(TEXT(I23, "yyyy/mm/dd"))</f>
        <v/>
      </c>
      <c r="AM23" s="358">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50"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59">
        <f>DATEVALUE(TEXT(I24, "yyyy/mm/dd"))</f>
        <v/>
      </c>
      <c r="AM24" s="358">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50"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59">
        <f>DATEVALUE(TEXT(I25, "yyyy/mm/dd"))</f>
        <v/>
      </c>
      <c r="AM25" s="358">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50"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59">
        <f>DATEVALUE(TEXT(I26, "yyyy/mm/dd"))</f>
        <v/>
      </c>
      <c r="AM26" s="358">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50"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59">
        <f>DATEVALUE(TEXT(I27, "yyyy/mm/dd"))</f>
        <v/>
      </c>
      <c r="AM27" s="358">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50"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59">
        <f>DATEVALUE(TEXT(I28, "yyyy/mm/dd"))</f>
        <v/>
      </c>
      <c r="AM28" s="358">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50"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59">
        <f>DATEVALUE(TEXT(I29, "yyyy/mm/dd"))</f>
        <v/>
      </c>
      <c r="AM29" s="358">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50"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59">
        <f>DATEVALUE(TEXT(I30, "yyyy/mm/dd"))</f>
        <v/>
      </c>
      <c r="AM30" s="358">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50"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59">
        <f>DATEVALUE(TEXT(I31, "yyyy/mm/dd"))</f>
        <v/>
      </c>
      <c r="AM31" s="358">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50"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59">
        <f>DATEVALUE(TEXT(I32, "yyyy/mm/dd"))</f>
        <v/>
      </c>
      <c r="AM32" s="358">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50"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59">
        <f>DATEVALUE(TEXT(I33, "yyyy/mm/dd"))</f>
        <v/>
      </c>
      <c r="AM33" s="358">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50"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59">
        <f>DATEVALUE(TEXT(I34, "yyyy/mm/dd"))</f>
        <v/>
      </c>
      <c r="AM34" s="358">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50"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59">
        <f>DATEVALUE(TEXT(I35, "yyyy/mm/dd"))</f>
        <v/>
      </c>
      <c r="AM35" s="358">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50"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59">
        <f>DATEVALUE(TEXT(I36, "yyyy/mm/dd"))</f>
        <v/>
      </c>
      <c r="AM36" s="358">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50"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59">
        <f>DATEVALUE(TEXT(I37, "yyyy/mm/dd"))</f>
        <v/>
      </c>
      <c r="AM37" s="358">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50"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59">
        <f>DATEVALUE(TEXT(I38, "yyyy/mm/dd"))</f>
        <v/>
      </c>
      <c r="AM38" s="358">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50"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59">
        <f>DATEVALUE(TEXT(I39, "yyyy/mm/dd"))</f>
        <v/>
      </c>
      <c r="AM39" s="358">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50"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59">
        <f>DATEVALUE(TEXT(I40, "yyyy/mm/dd"))</f>
        <v/>
      </c>
      <c r="AM40" s="358">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50"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59">
        <f>DATEVALUE(TEXT(I41, "yyyy/mm/dd"))</f>
        <v/>
      </c>
      <c r="AM41" s="358">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50"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59">
        <f>DATEVALUE(TEXT(I42, "yyyy/mm/dd"))</f>
        <v/>
      </c>
      <c r="AM42" s="358">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50"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59">
        <f>DATEVALUE(TEXT(I43, "yyyy/mm/dd"))</f>
        <v/>
      </c>
      <c r="AM43" s="358">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50"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59">
        <f>DATEVALUE(TEXT(I44, "yyyy/mm/dd"))</f>
        <v/>
      </c>
      <c r="AM44" s="358">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50"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59">
        <f>DATEVALUE(TEXT(I45, "yyyy/mm/dd"))</f>
        <v/>
      </c>
      <c r="AM45" s="358">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50"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59">
        <f>DATEVALUE(TEXT(I46, "yyyy/mm/dd"))</f>
        <v/>
      </c>
      <c r="AM46" s="358">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50"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59">
        <f>DATEVALUE(TEXT(I47, "yyyy/mm/dd"))</f>
        <v/>
      </c>
      <c r="AM47" s="358">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50"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59">
        <f>DATEVALUE(TEXT(I48, "yyyy/mm/dd"))</f>
        <v/>
      </c>
      <c r="AM48" s="358">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50"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59">
        <f>DATEVALUE(TEXT(I49, "yyyy/mm/dd"))</f>
        <v/>
      </c>
      <c r="AM49" s="358">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50"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59">
        <f>DATEVALUE(TEXT(I50, "yyyy/mm/dd"))</f>
        <v/>
      </c>
      <c r="AM50" s="358">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50"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59">
        <f>DATEVALUE(TEXT(I51, "yyyy/mm/dd"))</f>
        <v/>
      </c>
      <c r="AM51" s="358">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50"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59">
        <f>DATEVALUE(TEXT(I52, "yyyy/mm/dd"))</f>
        <v/>
      </c>
      <c r="AM52" s="358">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50"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59">
        <f>DATEVALUE(TEXT(I53, "yyyy/mm/dd"))</f>
        <v/>
      </c>
      <c r="AM53" s="358">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50"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59">
        <f>DATEVALUE(TEXT(I54, "yyyy/mm/dd"))</f>
        <v/>
      </c>
      <c r="AM54" s="358">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50"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59">
        <f>DATEVALUE(TEXT(I55, "yyyy/mm/dd"))</f>
        <v/>
      </c>
      <c r="AM55" s="358">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50"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59">
        <f>DATEVALUE(TEXT(I56, "yyyy/mm/dd"))</f>
        <v/>
      </c>
      <c r="AM56" s="358">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50"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59">
        <f>DATEVALUE(TEXT(I57, "yyyy/mm/dd"))</f>
        <v/>
      </c>
      <c r="AM57" s="358">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50"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59">
        <f>DATEVALUE(TEXT(I58, "yyyy/mm/dd"))</f>
        <v/>
      </c>
      <c r="AM58" s="358">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50"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59">
        <f>DATEVALUE(TEXT(I59, "yyyy/mm/dd"))</f>
        <v/>
      </c>
      <c r="AM59" s="358">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50"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59">
        <f>DATEVALUE(TEXT(I60, "yyyy/mm/dd"))</f>
        <v/>
      </c>
      <c r="AM60" s="358">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50"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59">
        <f>DATEVALUE(TEXT(I61, "yyyy/mm/dd"))</f>
        <v/>
      </c>
      <c r="AM61" s="358">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50"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59">
        <f>DATEVALUE(TEXT(I62, "yyyy/mm/dd"))</f>
        <v/>
      </c>
      <c r="AM62" s="358">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50"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59">
        <f>DATEVALUE(TEXT(I63, "yyyy/mm/dd"))</f>
        <v/>
      </c>
      <c r="AM63" s="358">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50"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59">
        <f>DATEVALUE(TEXT(I64, "yyyy/mm/dd"))</f>
        <v/>
      </c>
      <c r="AM64" s="358">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50"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59">
        <f>DATEVALUE(TEXT(I65, "yyyy/mm/dd"))</f>
        <v/>
      </c>
      <c r="AM65" s="358">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50"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59">
        <f>DATEVALUE(TEXT(I66, "yyyy/mm/dd"))</f>
        <v/>
      </c>
      <c r="AM66" s="358">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50"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59">
        <f>DATEVALUE(TEXT(I67, "yyyy/mm/dd"))</f>
        <v/>
      </c>
      <c r="AM67" s="358">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50"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59">
        <f>DATEVALUE(TEXT(I68, "yyyy/mm/dd"))</f>
        <v/>
      </c>
      <c r="AM68" s="358">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50"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59">
        <f>DATEVALUE(TEXT(I69, "yyyy/mm/dd"))</f>
        <v/>
      </c>
      <c r="AM69" s="358">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50"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59">
        <f>DATEVALUE(TEXT(I70, "yyyy/mm/dd"))</f>
        <v/>
      </c>
      <c r="AM70" s="358">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50"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59">
        <f>DATEVALUE(TEXT(I71, "yyyy/mm/dd"))</f>
        <v/>
      </c>
      <c r="AM71" s="358">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50"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59">
        <f>DATEVALUE(TEXT(I72, "yyyy/mm/dd"))</f>
        <v/>
      </c>
      <c r="AM72" s="358">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50"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59">
        <f>DATEVALUE(TEXT(I73, "yyyy/mm/dd"))</f>
        <v/>
      </c>
      <c r="AM73" s="358">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50"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59">
        <f>DATEVALUE(TEXT(I74, "yyyy/mm/dd"))</f>
        <v/>
      </c>
      <c r="AM74" s="358">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50"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59">
        <f>DATEVALUE(TEXT(I75, "yyyy/mm/dd"))</f>
        <v/>
      </c>
      <c r="AM75" s="358">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50"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59">
        <f>DATEVALUE(TEXT(I76, "yyyy/mm/dd"))</f>
        <v/>
      </c>
      <c r="AM76" s="358">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50"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59">
        <f>DATEVALUE(TEXT(I77, "yyyy/mm/dd"))</f>
        <v/>
      </c>
      <c r="AM77" s="358">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50"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59">
        <f>DATEVALUE(TEXT(I78, "yyyy/mm/dd"))</f>
        <v/>
      </c>
      <c r="AM78" s="358">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50"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59">
        <f>DATEVALUE(TEXT(I79, "yyyy/mm/dd"))</f>
        <v/>
      </c>
      <c r="AM79" s="358">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50"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59">
        <f>DATEVALUE(TEXT(I80, "yyyy/mm/dd"))</f>
        <v/>
      </c>
      <c r="AM80" s="358">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50"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59">
        <f>DATEVALUE(TEXT(I81, "yyyy/mm/dd"))</f>
        <v/>
      </c>
      <c r="AM81" s="358">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50"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59">
        <f>DATEVALUE(TEXT(I82, "yyyy/mm/dd"))</f>
        <v/>
      </c>
      <c r="AM82" s="358">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50"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59">
        <f>DATEVALUE(TEXT(I83, "yyyy/mm/dd"))</f>
        <v/>
      </c>
      <c r="AM83" s="358">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50"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59">
        <f>DATEVALUE(TEXT(I84, "yyyy/mm/dd"))</f>
        <v/>
      </c>
      <c r="AM84" s="358">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50"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59">
        <f>DATEVALUE(TEXT(I85, "yyyy/mm/dd"))</f>
        <v/>
      </c>
      <c r="AM85" s="358">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50"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59">
        <f>DATEVALUE(TEXT(I86, "yyyy/mm/dd"))</f>
        <v/>
      </c>
      <c r="AM86" s="358">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50"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59">
        <f>DATEVALUE(TEXT(I87, "yyyy/mm/dd"))</f>
        <v/>
      </c>
      <c r="AM87" s="358">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50"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59">
        <f>DATEVALUE(TEXT(I88, "yyyy/mm/dd"))</f>
        <v/>
      </c>
      <c r="AM88" s="358">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50"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59">
        <f>DATEVALUE(TEXT(I89, "yyyy/mm/dd"))</f>
        <v/>
      </c>
      <c r="AM89" s="358">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50"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59">
        <f>DATEVALUE(TEXT(I90, "yyyy/mm/dd"))</f>
        <v/>
      </c>
      <c r="AM90" s="358">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50"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59">
        <f>DATEVALUE(TEXT(I91, "yyyy/mm/dd"))</f>
        <v/>
      </c>
      <c r="AM91" s="358">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50"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59">
        <f>DATEVALUE(TEXT(I92, "yyyy/mm/dd"))</f>
        <v/>
      </c>
      <c r="AM92" s="358">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50"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59">
        <f>DATEVALUE(TEXT(I93, "yyyy/mm/dd"))</f>
        <v/>
      </c>
      <c r="AM93" s="358">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50"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59">
        <f>DATEVALUE(TEXT(I94, "yyyy/mm/dd"))</f>
        <v/>
      </c>
      <c r="AM94" s="358">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50"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59">
        <f>DATEVALUE(TEXT(I95, "yyyy/mm/dd"))</f>
        <v/>
      </c>
      <c r="AM95" s="358">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50"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59">
        <f>DATEVALUE(TEXT(I96, "yyyy/mm/dd"))</f>
        <v/>
      </c>
      <c r="AM96" s="358">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50"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59">
        <f>DATEVALUE(TEXT(I97, "yyyy/mm/dd"))</f>
        <v/>
      </c>
      <c r="AM97" s="358">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50"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59">
        <f>DATEVALUE(TEXT(I98, "yyyy/mm/dd"))</f>
        <v/>
      </c>
      <c r="AM98" s="358">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50"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59">
        <f>DATEVALUE(TEXT(I99, "yyyy/mm/dd"))</f>
        <v/>
      </c>
      <c r="AM99" s="358">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50"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59">
        <f>DATEVALUE(TEXT(I100, "yyyy/mm/dd"))</f>
        <v/>
      </c>
      <c r="AM100" s="358">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50"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59">
        <f>DATEVALUE(TEXT(I101, "yyyy/mm/dd"))</f>
        <v/>
      </c>
      <c r="AM101" s="358">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50"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59">
        <f>DATEVALUE(TEXT(I102, "yyyy/mm/dd"))</f>
        <v/>
      </c>
      <c r="AM102" s="358">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50"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59">
        <f>DATEVALUE(TEXT(I103, "yyyy/mm/dd"))</f>
        <v/>
      </c>
      <c r="AM103" s="358">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50"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59">
        <f>DATEVALUE(TEXT(I104, "yyyy/mm/dd"))</f>
        <v/>
      </c>
      <c r="AM104" s="358">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50"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59">
        <f>DATEVALUE(TEXT(I105, "yyyy/mm/dd"))</f>
        <v/>
      </c>
      <c r="AM105" s="358">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50"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59">
        <f>DATEVALUE(TEXT(I106, "yyyy/mm/dd"))</f>
        <v/>
      </c>
      <c r="AM106" s="358">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50"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59">
        <f>DATEVALUE(TEXT(I107, "yyyy/mm/dd"))</f>
        <v/>
      </c>
      <c r="AM107" s="358">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50"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59">
        <f>DATEVALUE(TEXT(I108, "yyyy/mm/dd"))</f>
        <v/>
      </c>
      <c r="AM108" s="358">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50"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59">
        <f>DATEVALUE(TEXT(I109, "yyyy/mm/dd"))</f>
        <v/>
      </c>
      <c r="AM109" s="358">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50"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59">
        <f>DATEVALUE(TEXT(I110, "yyyy/mm/dd"))</f>
        <v/>
      </c>
      <c r="AM110" s="358">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50"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59">
        <f>DATEVALUE(TEXT(I111, "yyyy/mm/dd"))</f>
        <v/>
      </c>
      <c r="AM111" s="358">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50"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59">
        <f>DATEVALUE(TEXT(I112, "yyyy/mm/dd"))</f>
        <v/>
      </c>
      <c r="AM112" s="358">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50"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59">
        <f>DATEVALUE(TEXT(I113, "yyyy/mm/dd"))</f>
        <v/>
      </c>
      <c r="AM113" s="358">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50"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59">
        <f>DATEVALUE(TEXT(I114, "yyyy/mm/dd"))</f>
        <v/>
      </c>
      <c r="AM114" s="358">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50"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59">
        <f>DATEVALUE(TEXT(I115, "yyyy/mm/dd"))</f>
        <v/>
      </c>
      <c r="AM115" s="358">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50"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59">
        <f>DATEVALUE(TEXT(I116, "yyyy/mm/dd"))</f>
        <v/>
      </c>
      <c r="AM116" s="358">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50"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59">
        <f>DATEVALUE(TEXT(I117, "yyyy/mm/dd"))</f>
        <v/>
      </c>
      <c r="AM117" s="358">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50"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59">
        <f>DATEVALUE(TEXT(I118, "yyyy/mm/dd"))</f>
        <v/>
      </c>
      <c r="AM118" s="358">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50"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59">
        <f>DATEVALUE(TEXT(I119, "yyyy/mm/dd"))</f>
        <v/>
      </c>
      <c r="AM119" s="358">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50"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59">
        <f>DATEVALUE(TEXT(I120, "yyyy/mm/dd"))</f>
        <v/>
      </c>
      <c r="AM120" s="358">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50"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59">
        <f>DATEVALUE(TEXT(I121, "yyyy/mm/dd"))</f>
        <v/>
      </c>
      <c r="AM121" s="358">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50"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59">
        <f>DATEVALUE(TEXT(I122, "yyyy/mm/dd"))</f>
        <v/>
      </c>
      <c r="AM122" s="358">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50"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59">
        <f>DATEVALUE(TEXT(I123, "yyyy/mm/dd"))</f>
        <v/>
      </c>
      <c r="AM123" s="358">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50"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59">
        <f>DATEVALUE(TEXT(I124, "yyyy/mm/dd"))</f>
        <v/>
      </c>
      <c r="AM124" s="358">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50"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59">
        <f>DATEVALUE(TEXT(I125, "yyyy/mm/dd"))</f>
        <v/>
      </c>
      <c r="AM125" s="358">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50"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59">
        <f>DATEVALUE(TEXT(I126, "yyyy/mm/dd"))</f>
        <v/>
      </c>
      <c r="AM126" s="358">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50"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59">
        <f>DATEVALUE(TEXT(I127, "yyyy/mm/dd"))</f>
        <v/>
      </c>
      <c r="AM127" s="358">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50"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59">
        <f>DATEVALUE(TEXT(I128, "yyyy/mm/dd"))</f>
        <v/>
      </c>
      <c r="AM128" s="358">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50"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59">
        <f>DATEVALUE(TEXT(I129, "yyyy/mm/dd"))</f>
        <v/>
      </c>
      <c r="AM129" s="358">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50"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59">
        <f>DATEVALUE(TEXT(I130, "yyyy/mm/dd"))</f>
        <v/>
      </c>
      <c r="AM130" s="358">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50"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59">
        <f>DATEVALUE(TEXT(I131, "yyyy/mm/dd"))</f>
        <v/>
      </c>
      <c r="AM131" s="358">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50"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59">
        <f>DATEVALUE(TEXT(I132, "yyyy/mm/dd"))</f>
        <v/>
      </c>
      <c r="AM132" s="358">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50"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59">
        <f>DATEVALUE(TEXT(I133, "yyyy/mm/dd"))</f>
        <v/>
      </c>
      <c r="AM133" s="358">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50"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59">
        <f>DATEVALUE(TEXT(I134, "yyyy/mm/dd"))</f>
        <v/>
      </c>
      <c r="AM134" s="358">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50"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59">
        <f>DATEVALUE(TEXT(I135, "yyyy/mm/dd"))</f>
        <v/>
      </c>
      <c r="AM135" s="358">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50"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59">
        <f>DATEVALUE(TEXT(I136, "yyyy/mm/dd"))</f>
        <v/>
      </c>
      <c r="AM136" s="358">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50"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59">
        <f>DATEVALUE(TEXT(I137, "yyyy/mm/dd"))</f>
        <v/>
      </c>
      <c r="AM137" s="358">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50"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59">
        <f>DATEVALUE(TEXT(I138, "yyyy/mm/dd"))</f>
        <v/>
      </c>
      <c r="AM138" s="358">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50"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59">
        <f>DATEVALUE(TEXT(I139, "yyyy/mm/dd"))</f>
        <v/>
      </c>
      <c r="AM139" s="358">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50"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59">
        <f>DATEVALUE(TEXT(I140, "yyyy/mm/dd"))</f>
        <v/>
      </c>
      <c r="AM140" s="358">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50"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59">
        <f>DATEVALUE(TEXT(I141, "yyyy/mm/dd"))</f>
        <v/>
      </c>
      <c r="AM141" s="358">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50"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59">
        <f>DATEVALUE(TEXT(I142, "yyyy/mm/dd"))</f>
        <v/>
      </c>
      <c r="AM142" s="358">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50"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59">
        <f>DATEVALUE(TEXT(I143, "yyyy/mm/dd"))</f>
        <v/>
      </c>
      <c r="AM143" s="358">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50"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59">
        <f>DATEVALUE(TEXT(I144, "yyyy/mm/dd"))</f>
        <v/>
      </c>
      <c r="AM144" s="358">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50"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59">
        <f>DATEVALUE(TEXT(I145, "yyyy/mm/dd"))</f>
        <v/>
      </c>
      <c r="AM145" s="358">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50"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59">
        <f>DATEVALUE(TEXT(I146, "yyyy/mm/dd"))</f>
        <v/>
      </c>
      <c r="AM146" s="358">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50"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59">
        <f>DATEVALUE(TEXT(I147, "yyyy/mm/dd"))</f>
        <v/>
      </c>
      <c r="AM147" s="358">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50"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59">
        <f>DATEVALUE(TEXT(I148, "yyyy/mm/dd"))</f>
        <v/>
      </c>
      <c r="AM148" s="358">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50"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59">
        <f>DATEVALUE(TEXT(I149, "yyyy/mm/dd"))</f>
        <v/>
      </c>
      <c r="AM149" s="358">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50"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59">
        <f>DATEVALUE(TEXT(I150, "yyyy/mm/dd"))</f>
        <v/>
      </c>
      <c r="AM150" s="358">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50"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59">
        <f>DATEVALUE(TEXT(I151, "yyyy/mm/dd"))</f>
        <v/>
      </c>
      <c r="AM151" s="358">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50"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59">
        <f>DATEVALUE(TEXT(I152, "yyyy/mm/dd"))</f>
        <v/>
      </c>
      <c r="AM152" s="358">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50"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59">
        <f>DATEVALUE(TEXT(I153, "yyyy/mm/dd"))</f>
        <v/>
      </c>
      <c r="AM153" s="358">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50"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59">
        <f>DATEVALUE(TEXT(I154, "yyyy/mm/dd"))</f>
        <v/>
      </c>
      <c r="AM154" s="358">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50"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59">
        <f>DATEVALUE(TEXT(I155, "yyyy/mm/dd"))</f>
        <v/>
      </c>
      <c r="AM155" s="358">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50"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59">
        <f>DATEVALUE(TEXT(I156, "yyyy/mm/dd"))</f>
        <v/>
      </c>
      <c r="AM156" s="358">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50"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59">
        <f>DATEVALUE(TEXT(I157, "yyyy/mm/dd"))</f>
        <v/>
      </c>
      <c r="AM157" s="358">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50"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59">
        <f>DATEVALUE(TEXT(I158, "yyyy/mm/dd"))</f>
        <v/>
      </c>
      <c r="AM158" s="358">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50"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59">
        <f>DATEVALUE(TEXT(I159, "yyyy/mm/dd"))</f>
        <v/>
      </c>
      <c r="AM159" s="358">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50"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59">
        <f>DATEVALUE(TEXT(I160, "yyyy/mm/dd"))</f>
        <v/>
      </c>
      <c r="AM160" s="358">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50"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59">
        <f>DATEVALUE(TEXT(I161, "yyyy/mm/dd"))</f>
        <v/>
      </c>
      <c r="AM161" s="358">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50"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59">
        <f>DATEVALUE(TEXT(I162, "yyyy/mm/dd"))</f>
        <v/>
      </c>
      <c r="AM162" s="358">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50"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59">
        <f>DATEVALUE(TEXT(I163, "yyyy/mm/dd"))</f>
        <v/>
      </c>
      <c r="AM163" s="358">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50"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59">
        <f>DATEVALUE(TEXT(I164, "yyyy/mm/dd"))</f>
        <v/>
      </c>
      <c r="AM164" s="358">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50"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59">
        <f>DATEVALUE(TEXT(I165, "yyyy/mm/dd"))</f>
        <v/>
      </c>
      <c r="AM165" s="358">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50"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59">
        <f>DATEVALUE(TEXT(I166, "yyyy/mm/dd"))</f>
        <v/>
      </c>
      <c r="AM166" s="358">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50"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59">
        <f>DATEVALUE(TEXT(I167, "yyyy/mm/dd"))</f>
        <v/>
      </c>
      <c r="AM167" s="358">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50"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59">
        <f>DATEVALUE(TEXT(I168, "yyyy/mm/dd"))</f>
        <v/>
      </c>
      <c r="AM168" s="358">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50"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59">
        <f>DATEVALUE(TEXT(I169, "yyyy/mm/dd"))</f>
        <v/>
      </c>
      <c r="AM169" s="358">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50"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59">
        <f>DATEVALUE(TEXT(I170, "yyyy/mm/dd"))</f>
        <v/>
      </c>
      <c r="AM170" s="358">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50"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59">
        <f>DATEVALUE(TEXT(I171, "yyyy/mm/dd"))</f>
        <v/>
      </c>
      <c r="AM171" s="358">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50"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59">
        <f>DATEVALUE(TEXT(I172, "yyyy/mm/dd"))</f>
        <v/>
      </c>
      <c r="AM172" s="358">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50"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59">
        <f>DATEVALUE(TEXT(I173, "yyyy/mm/dd"))</f>
        <v/>
      </c>
      <c r="AM173" s="358">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50"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59">
        <f>DATEVALUE(TEXT(I174, "yyyy/mm/dd"))</f>
        <v/>
      </c>
      <c r="AM174" s="358">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50"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59">
        <f>DATEVALUE(TEXT(I175, "yyyy/mm/dd"))</f>
        <v/>
      </c>
      <c r="AM175" s="358">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50"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59">
        <f>DATEVALUE(TEXT(I176, "yyyy/mm/dd"))</f>
        <v/>
      </c>
      <c r="AM176" s="358">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50"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59">
        <f>DATEVALUE(TEXT(I177, "yyyy/mm/dd"))</f>
        <v/>
      </c>
      <c r="AM177" s="358">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50"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59">
        <f>DATEVALUE(TEXT(I178, "yyyy/mm/dd"))</f>
        <v/>
      </c>
      <c r="AM178" s="358">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50"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59">
        <f>DATEVALUE(TEXT(I179, "yyyy/mm/dd"))</f>
        <v/>
      </c>
      <c r="AM179" s="358">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50"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59">
        <f>DATEVALUE(TEXT(I180, "yyyy/mm/dd"))</f>
        <v/>
      </c>
      <c r="AM180" s="358">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50"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59">
        <f>DATEVALUE(TEXT(I181, "yyyy/mm/dd"))</f>
        <v/>
      </c>
      <c r="AM181" s="358">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50"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59">
        <f>DATEVALUE(TEXT(I182, "yyyy/mm/dd"))</f>
        <v/>
      </c>
      <c r="AM182" s="358">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50"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59">
        <f>DATEVALUE(TEXT(I183, "yyyy/mm/dd"))</f>
        <v/>
      </c>
      <c r="AM183" s="358">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50"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59">
        <f>DATEVALUE(TEXT(I184, "yyyy/mm/dd"))</f>
        <v/>
      </c>
      <c r="AM184" s="358">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50"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59">
        <f>DATEVALUE(TEXT(I185, "yyyy/mm/dd"))</f>
        <v/>
      </c>
      <c r="AM185" s="358">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50"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59">
        <f>DATEVALUE(TEXT(I186, "yyyy/mm/dd"))</f>
        <v/>
      </c>
      <c r="AM186" s="358">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50"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59">
        <f>DATEVALUE(TEXT(I187, "yyyy/mm/dd"))</f>
        <v/>
      </c>
      <c r="AM187" s="358">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50"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59">
        <f>DATEVALUE(TEXT(I188, "yyyy/mm/dd"))</f>
        <v/>
      </c>
      <c r="AM188" s="358">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50"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59">
        <f>DATEVALUE(TEXT(I189, "yyyy/mm/dd"))</f>
        <v/>
      </c>
      <c r="AM189" s="358">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50"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59">
        <f>DATEVALUE(TEXT(I190, "yyyy/mm/dd"))</f>
        <v/>
      </c>
      <c r="AM190" s="358">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50"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59">
        <f>DATEVALUE(TEXT(I191, "yyyy/mm/dd"))</f>
        <v/>
      </c>
      <c r="AM191" s="358">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50"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59">
        <f>DATEVALUE(TEXT(I192, "yyyy/mm/dd"))</f>
        <v/>
      </c>
      <c r="AM192" s="358">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50"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59">
        <f>DATEVALUE(TEXT(I193, "yyyy/mm/dd"))</f>
        <v/>
      </c>
      <c r="AM193" s="358">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50"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59">
        <f>DATEVALUE(TEXT(I194, "yyyy/mm/dd"))</f>
        <v/>
      </c>
      <c r="AM194" s="358">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50"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59">
        <f>DATEVALUE(TEXT(I195, "yyyy/mm/dd"))</f>
        <v/>
      </c>
      <c r="AM195" s="358">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50"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59">
        <f>DATEVALUE(TEXT(I196, "yyyy/mm/dd"))</f>
        <v/>
      </c>
      <c r="AM196" s="358">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50"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59">
        <f>DATEVALUE(TEXT(I197, "yyyy/mm/dd"))</f>
        <v/>
      </c>
      <c r="AM197" s="358">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50"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59">
        <f>DATEVALUE(TEXT(I198, "yyyy/mm/dd"))</f>
        <v/>
      </c>
      <c r="AM198" s="358">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50"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59">
        <f>DATEVALUE(TEXT(I199, "yyyy/mm/dd"))</f>
        <v/>
      </c>
      <c r="AM199" s="358">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50"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59">
        <f>DATEVALUE(TEXT(I200, "yyyy/mm/dd"))</f>
        <v/>
      </c>
      <c r="AM200" s="358">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50"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59">
        <f>DATEVALUE(TEXT(I201, "yyyy/mm/dd"))</f>
        <v/>
      </c>
      <c r="AM201" s="358">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50"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59">
        <f>DATEVALUE(TEXT(I202, "yyyy/mm/dd"))</f>
        <v/>
      </c>
      <c r="AM202" s="358">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50"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59">
        <f>DATEVALUE(TEXT(I203, "yyyy/mm/dd"))</f>
        <v/>
      </c>
      <c r="AM203" s="358">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50"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59">
        <f>DATEVALUE(TEXT(I204, "yyyy/mm/dd"))</f>
        <v/>
      </c>
      <c r="AM204" s="358">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50"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59">
        <f>DATEVALUE(TEXT(I205, "yyyy/mm/dd"))</f>
        <v/>
      </c>
      <c r="AM205" s="358">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50"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59">
        <f>DATEVALUE(TEXT(I206, "yyyy/mm/dd"))</f>
        <v/>
      </c>
      <c r="AM206" s="358">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50"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59">
        <f>DATEVALUE(TEXT(I207, "yyyy/mm/dd"))</f>
        <v/>
      </c>
      <c r="AM207" s="358">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50"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59">
        <f>DATEVALUE(TEXT(I208, "yyyy/mm/dd"))</f>
        <v/>
      </c>
      <c r="AM208" s="358">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50"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59">
        <f>DATEVALUE(TEXT(I209, "yyyy/mm/dd"))</f>
        <v/>
      </c>
      <c r="AM209" s="358">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50"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59">
        <f>DATEVALUE(TEXT(I210, "yyyy/mm/dd"))</f>
        <v/>
      </c>
      <c r="AM210" s="358">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50"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59">
        <f>DATEVALUE(TEXT(I211, "yyyy/mm/dd"))</f>
        <v/>
      </c>
      <c r="AM211" s="358">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50"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59">
        <f>DATEVALUE(TEXT(I212, "yyyy/mm/dd"))</f>
        <v/>
      </c>
      <c r="AM212" s="358">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50"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59">
        <f>DATEVALUE(TEXT(I213, "yyyy/mm/dd"))</f>
        <v/>
      </c>
      <c r="AM213" s="358">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50"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59">
        <f>DATEVALUE(TEXT(I214, "yyyy/mm/dd"))</f>
        <v/>
      </c>
      <c r="AM214" s="358">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50"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59">
        <f>DATEVALUE(TEXT(I215, "yyyy/mm/dd"))</f>
        <v/>
      </c>
      <c r="AM215" s="358">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50"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59">
        <f>DATEVALUE(TEXT(I216, "yyyy/mm/dd"))</f>
        <v/>
      </c>
      <c r="AM216" s="358">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50"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59">
        <f>DATEVALUE(TEXT(I217, "yyyy/mm/dd"))</f>
        <v/>
      </c>
      <c r="AM217" s="358">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50"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59">
        <f>DATEVALUE(TEXT(I218, "yyyy/mm/dd"))</f>
        <v/>
      </c>
      <c r="AM218" s="358">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50"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59">
        <f>DATEVALUE(TEXT(I219, "yyyy/mm/dd"))</f>
        <v/>
      </c>
      <c r="AM219" s="358">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50"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59">
        <f>DATEVALUE(TEXT(I220, "yyyy/mm/dd"))</f>
        <v/>
      </c>
      <c r="AM220" s="358">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50"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59">
        <f>DATEVALUE(TEXT(I221, "yyyy/mm/dd"))</f>
        <v/>
      </c>
      <c r="AM221" s="358">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50"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59">
        <f>DATEVALUE(TEXT(I222, "yyyy/mm/dd"))</f>
        <v/>
      </c>
      <c r="AM222" s="358">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50"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59">
        <f>DATEVALUE(TEXT(I223, "yyyy/mm/dd"))</f>
        <v/>
      </c>
      <c r="AM223" s="358">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50"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59">
        <f>DATEVALUE(TEXT(I224, "yyyy/mm/dd"))</f>
        <v/>
      </c>
      <c r="AM224" s="358">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50"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59">
        <f>DATEVALUE(TEXT(I225, "yyyy/mm/dd"))</f>
        <v/>
      </c>
      <c r="AM225" s="358">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50"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59">
        <f>DATEVALUE(TEXT(I226, "yyyy/mm/dd"))</f>
        <v/>
      </c>
      <c r="AM226" s="358">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50"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59">
        <f>DATEVALUE(TEXT(I227, "yyyy/mm/dd"))</f>
        <v/>
      </c>
      <c r="AM227" s="358">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50"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59">
        <f>DATEVALUE(TEXT(I228, "yyyy/mm/dd"))</f>
        <v/>
      </c>
      <c r="AM228" s="358">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50"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59">
        <f>DATEVALUE(TEXT(I229, "yyyy/mm/dd"))</f>
        <v/>
      </c>
      <c r="AM229" s="358">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50"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59">
        <f>DATEVALUE(TEXT(I230, "yyyy/mm/dd"))</f>
        <v/>
      </c>
      <c r="AM230" s="358">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50"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59">
        <f>DATEVALUE(TEXT(I231, "yyyy/mm/dd"))</f>
        <v/>
      </c>
      <c r="AM231" s="358">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50"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59">
        <f>DATEVALUE(TEXT(I232, "yyyy/mm/dd"))</f>
        <v/>
      </c>
      <c r="AM232" s="358">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50"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59">
        <f>DATEVALUE(TEXT(I233, "yyyy/mm/dd"))</f>
        <v/>
      </c>
      <c r="AM233" s="358">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50"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59">
        <f>DATEVALUE(TEXT(I234, "yyyy/mm/dd"))</f>
        <v/>
      </c>
      <c r="AM234" s="358">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50"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59">
        <f>DATEVALUE(TEXT(I235, "yyyy/mm/dd"))</f>
        <v/>
      </c>
      <c r="AM235" s="358">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50"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59">
        <f>DATEVALUE(TEXT(I236, "yyyy/mm/dd"))</f>
        <v/>
      </c>
      <c r="AM236" s="358">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50"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59">
        <f>DATEVALUE(TEXT(I237, "yyyy/mm/dd"))</f>
        <v/>
      </c>
      <c r="AM237" s="358">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50"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59">
        <f>DATEVALUE(TEXT(I238, "yyyy/mm/dd"))</f>
        <v/>
      </c>
      <c r="AM238" s="358">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50"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59">
        <f>DATEVALUE(TEXT(I239, "yyyy/mm/dd"))</f>
        <v/>
      </c>
      <c r="AM239" s="358">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50"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59">
        <f>DATEVALUE(TEXT(I240, "yyyy/mm/dd"))</f>
        <v/>
      </c>
      <c r="AM240" s="358">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50"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59">
        <f>DATEVALUE(TEXT(I241, "yyyy/mm/dd"))</f>
        <v/>
      </c>
      <c r="AM241" s="358">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50"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59">
        <f>DATEVALUE(TEXT(I242, "yyyy/mm/dd"))</f>
        <v/>
      </c>
      <c r="AM242" s="358">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50"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59">
        <f>DATEVALUE(TEXT(I243, "yyyy/mm/dd"))</f>
        <v/>
      </c>
      <c r="AM243" s="358">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50"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59">
        <f>DATEVALUE(TEXT(I244, "yyyy/mm/dd"))</f>
        <v/>
      </c>
      <c r="AM244" s="358">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50"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59">
        <f>DATEVALUE(TEXT(I245, "yyyy/mm/dd"))</f>
        <v/>
      </c>
      <c r="AM245" s="358">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50"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59">
        <f>DATEVALUE(TEXT(I246, "yyyy/mm/dd"))</f>
        <v/>
      </c>
      <c r="AM246" s="358">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50"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59">
        <f>DATEVALUE(TEXT(I247, "yyyy/mm/dd"))</f>
        <v/>
      </c>
      <c r="AM247" s="358">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50"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59">
        <f>DATEVALUE(TEXT(I248, "yyyy/mm/dd"))</f>
        <v/>
      </c>
      <c r="AM248" s="358">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50"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59">
        <f>DATEVALUE(TEXT(I249, "yyyy/mm/dd"))</f>
        <v/>
      </c>
      <c r="AM249" s="358">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50"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59">
        <f>DATEVALUE(TEXT(I250, "yyyy/mm/dd"))</f>
        <v/>
      </c>
      <c r="AM250" s="358">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50"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59">
        <f>DATEVALUE(TEXT(I251, "yyyy/mm/dd"))</f>
        <v/>
      </c>
      <c r="AM251" s="358">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50"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59">
        <f>DATEVALUE(TEXT(I252, "yyyy/mm/dd"))</f>
        <v/>
      </c>
      <c r="AM252" s="358">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50"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59">
        <f>DATEVALUE(TEXT(I253, "yyyy/mm/dd"))</f>
        <v/>
      </c>
      <c r="AM253" s="358">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50"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59">
        <f>DATEVALUE(TEXT(I254, "yyyy/mm/dd"))</f>
        <v/>
      </c>
      <c r="AM254" s="358">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50"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59">
        <f>DATEVALUE(TEXT(I255, "yyyy/mm/dd"))</f>
        <v/>
      </c>
      <c r="AM255" s="358">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50"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59">
        <f>DATEVALUE(TEXT(I256, "yyyy/mm/dd"))</f>
        <v/>
      </c>
      <c r="AM256" s="358">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50"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59">
        <f>DATEVALUE(TEXT(I257, "yyyy/mm/dd"))</f>
        <v/>
      </c>
      <c r="AM257" s="358">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50"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59">
        <f>DATEVALUE(TEXT(I258, "yyyy/mm/dd"))</f>
        <v/>
      </c>
      <c r="AM258" s="358">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50"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59">
        <f>DATEVALUE(TEXT(I259, "yyyy/mm/dd"))</f>
        <v/>
      </c>
      <c r="AM259" s="358">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50"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59">
        <f>DATEVALUE(TEXT(I260, "yyyy/mm/dd"))</f>
        <v/>
      </c>
      <c r="AM260" s="358">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50"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59">
        <f>DATEVALUE(TEXT(I261, "yyyy/mm/dd"))</f>
        <v/>
      </c>
      <c r="AM261" s="358">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50"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59">
        <f>DATEVALUE(TEXT(I262, "yyyy/mm/dd"))</f>
        <v/>
      </c>
      <c r="AM262" s="358">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50"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59">
        <f>DATEVALUE(TEXT(I263, "yyyy/mm/dd"))</f>
        <v/>
      </c>
      <c r="AM263" s="358">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50"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59">
        <f>DATEVALUE(TEXT(I264, "yyyy/mm/dd"))</f>
        <v/>
      </c>
      <c r="AM264" s="358">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50"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59">
        <f>DATEVALUE(TEXT(I265, "yyyy/mm/dd"))</f>
        <v/>
      </c>
      <c r="AM265" s="358">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50"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59">
        <f>DATEVALUE(TEXT(I266, "yyyy/mm/dd"))</f>
        <v/>
      </c>
      <c r="AM266" s="358">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50"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59">
        <f>DATEVALUE(TEXT(I267, "yyyy/mm/dd"))</f>
        <v/>
      </c>
      <c r="AM267" s="358">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50"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59">
        <f>DATEVALUE(TEXT(I268, "yyyy/mm/dd"))</f>
        <v/>
      </c>
      <c r="AM268" s="358">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50"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59">
        <f>DATEVALUE(TEXT(I269, "yyyy/mm/dd"))</f>
        <v/>
      </c>
      <c r="AM269" s="358">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50"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59">
        <f>DATEVALUE(TEXT(I270, "yyyy/mm/dd"))</f>
        <v/>
      </c>
      <c r="AM270" s="358">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50"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59">
        <f>DATEVALUE(TEXT(I271, "yyyy/mm/dd"))</f>
        <v/>
      </c>
      <c r="AM271" s="358">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50"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59">
        <f>DATEVALUE(TEXT(I272, "yyyy/mm/dd"))</f>
        <v/>
      </c>
      <c r="AM272" s="358">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50"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59">
        <f>DATEVALUE(TEXT(I273, "yyyy/mm/dd"))</f>
        <v/>
      </c>
      <c r="AM273" s="358">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50"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59">
        <f>DATEVALUE(TEXT(I274, "yyyy/mm/dd"))</f>
        <v/>
      </c>
      <c r="AM274" s="358">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50"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59">
        <f>DATEVALUE(TEXT(I275, "yyyy/mm/dd"))</f>
        <v/>
      </c>
      <c r="AM275" s="358">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50"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59">
        <f>DATEVALUE(TEXT(I276, "yyyy/mm/dd"))</f>
        <v/>
      </c>
      <c r="AM276" s="358">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50"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59">
        <f>DATEVALUE(TEXT(I277, "yyyy/mm/dd"))</f>
        <v/>
      </c>
      <c r="AM277" s="358">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50"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59">
        <f>DATEVALUE(TEXT(I278, "yyyy/mm/dd"))</f>
        <v/>
      </c>
      <c r="AM278" s="358">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50"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59">
        <f>DATEVALUE(TEXT(I279, "yyyy/mm/dd"))</f>
        <v/>
      </c>
      <c r="AM279" s="358">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50"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59">
        <f>DATEVALUE(TEXT(I280, "yyyy/mm/dd"))</f>
        <v/>
      </c>
      <c r="AM280" s="358">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50"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59">
        <f>DATEVALUE(TEXT(I281, "yyyy/mm/dd"))</f>
        <v/>
      </c>
      <c r="AM281" s="358">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50"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59">
        <f>DATEVALUE(TEXT(I282, "yyyy/mm/dd"))</f>
        <v/>
      </c>
      <c r="AM282" s="358">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50"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59">
        <f>DATEVALUE(TEXT(I283, "yyyy/mm/dd"))</f>
        <v/>
      </c>
      <c r="AM283" s="358">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50"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59">
        <f>DATEVALUE(TEXT(I284, "yyyy/mm/dd"))</f>
        <v/>
      </c>
      <c r="AM284" s="358">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50"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59">
        <f>DATEVALUE(TEXT(I285, "yyyy/mm/dd"))</f>
        <v/>
      </c>
      <c r="AM285" s="358">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50"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59">
        <f>DATEVALUE(TEXT(I286, "yyyy/mm/dd"))</f>
        <v/>
      </c>
      <c r="AM286" s="358">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50"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59">
        <f>DATEVALUE(TEXT(I287, "yyyy/mm/dd"))</f>
        <v/>
      </c>
      <c r="AM287" s="358">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50"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59">
        <f>DATEVALUE(TEXT(I288, "yyyy/mm/dd"))</f>
        <v/>
      </c>
      <c r="AM288" s="358">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50"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59">
        <f>DATEVALUE(TEXT(I289, "yyyy/mm/dd"))</f>
        <v/>
      </c>
      <c r="AM289" s="358">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50"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59">
        <f>DATEVALUE(TEXT(I290, "yyyy/mm/dd"))</f>
        <v/>
      </c>
      <c r="AM290" s="358">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50"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59">
        <f>DATEVALUE(TEXT(I291, "yyyy/mm/dd"))</f>
        <v/>
      </c>
      <c r="AM291" s="358">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50"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59">
        <f>DATEVALUE(TEXT(I292, "yyyy/mm/dd"))</f>
        <v/>
      </c>
      <c r="AM292" s="358">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50"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59">
        <f>DATEVALUE(TEXT(I293, "yyyy/mm/dd"))</f>
        <v/>
      </c>
      <c r="AM293" s="358">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50"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59">
        <f>DATEVALUE(TEXT(I294, "yyyy/mm/dd"))</f>
        <v/>
      </c>
      <c r="AM294" s="358">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50"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59">
        <f>DATEVALUE(TEXT(I295, "yyyy/mm/dd"))</f>
        <v/>
      </c>
      <c r="AM295" s="358">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50"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59">
        <f>DATEVALUE(TEXT(I296, "yyyy/mm/dd"))</f>
        <v/>
      </c>
      <c r="AM296" s="358">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50"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59">
        <f>DATEVALUE(TEXT(I297, "yyyy/mm/dd"))</f>
        <v/>
      </c>
      <c r="AM297" s="358">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50"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59">
        <f>DATEVALUE(TEXT(I298, "yyyy/mm/dd"))</f>
        <v/>
      </c>
      <c r="AM298" s="358">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50"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59">
        <f>DATEVALUE(TEXT(I299, "yyyy/mm/dd"))</f>
        <v/>
      </c>
      <c r="AM299" s="358">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50"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59">
        <f>DATEVALUE(TEXT(I300, "yyyy/mm/dd"))</f>
        <v/>
      </c>
      <c r="AM300" s="358">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50"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59">
        <f>DATEVALUE(TEXT(I301, "yyyy/mm/dd"))</f>
        <v/>
      </c>
      <c r="AM301" s="358">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50"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59">
        <f>DATEVALUE(TEXT(I302, "yyyy/mm/dd"))</f>
        <v/>
      </c>
      <c r="AM302" s="358">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50"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59">
        <f>DATEVALUE(TEXT(I303, "yyyy/mm/dd"))</f>
        <v/>
      </c>
      <c r="AM303" s="358">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50"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59">
        <f>DATEVALUE(TEXT(I304, "yyyy/mm/dd"))</f>
        <v/>
      </c>
      <c r="AM304" s="358">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50"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59">
        <f>DATEVALUE(TEXT(I305, "yyyy/mm/dd"))</f>
        <v/>
      </c>
      <c r="AM305" s="358">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50"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59">
        <f>DATEVALUE(TEXT(I306, "yyyy/mm/dd"))</f>
        <v/>
      </c>
      <c r="AM306" s="358">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50"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59">
        <f>DATEVALUE(TEXT(I307, "yyyy/mm/dd"))</f>
        <v/>
      </c>
      <c r="AM307" s="358">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50"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59">
        <f>DATEVALUE(TEXT(I308, "yyyy/mm/dd"))</f>
        <v/>
      </c>
      <c r="AM308" s="358">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50"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59">
        <f>DATEVALUE(TEXT(I309, "yyyy/mm/dd"))</f>
        <v/>
      </c>
      <c r="AM309" s="358">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50"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59">
        <f>DATEVALUE(TEXT(I310, "yyyy/mm/dd"))</f>
        <v/>
      </c>
      <c r="AM310" s="358">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50"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59">
        <f>DATEVALUE(TEXT(I311, "yyyy/mm/dd"))</f>
        <v/>
      </c>
      <c r="AM311" s="358">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50"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59">
        <f>DATEVALUE(TEXT(I312, "yyyy/mm/dd"))</f>
        <v/>
      </c>
      <c r="AM312" s="358">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50"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59">
        <f>DATEVALUE(TEXT(I313, "yyyy/mm/dd"))</f>
        <v/>
      </c>
      <c r="AM313" s="358">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50"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59">
        <f>DATEVALUE(TEXT(I314, "yyyy/mm/dd"))</f>
        <v/>
      </c>
      <c r="AM314" s="358">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50"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59">
        <f>DATEVALUE(TEXT(I315, "yyyy/mm/dd"))</f>
        <v/>
      </c>
      <c r="AM315" s="358">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50"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59">
        <f>DATEVALUE(TEXT(I316, "yyyy/mm/dd"))</f>
        <v/>
      </c>
      <c r="AM316" s="358">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50"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59">
        <f>DATEVALUE(TEXT(I317, "yyyy/mm/dd"))</f>
        <v/>
      </c>
      <c r="AM317" s="358">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50"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59">
        <f>DATEVALUE(TEXT(I318, "yyyy/mm/dd"))</f>
        <v/>
      </c>
      <c r="AM318" s="358">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50"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59">
        <f>DATEVALUE(TEXT(I319, "yyyy/mm/dd"))</f>
        <v/>
      </c>
      <c r="AM319" s="358">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50"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59">
        <f>DATEVALUE(TEXT(I320, "yyyy/mm/dd"))</f>
        <v/>
      </c>
      <c r="AM320" s="358">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50"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59">
        <f>DATEVALUE(TEXT(I321, "yyyy/mm/dd"))</f>
        <v/>
      </c>
      <c r="AM321" s="358">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50"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59">
        <f>DATEVALUE(TEXT(I322, "yyyy/mm/dd"))</f>
        <v/>
      </c>
      <c r="AM322" s="358">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50"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59">
        <f>DATEVALUE(TEXT(I323, "yyyy/mm/dd"))</f>
        <v/>
      </c>
      <c r="AM323" s="358">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50"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59">
        <f>DATEVALUE(TEXT(I324, "yyyy/mm/dd"))</f>
        <v/>
      </c>
      <c r="AM324" s="358">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50"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59">
        <f>DATEVALUE(TEXT(I325, "yyyy/mm/dd"))</f>
        <v/>
      </c>
      <c r="AM325" s="358">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50"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59">
        <f>DATEVALUE(TEXT(I326, "yyyy/mm/dd"))</f>
        <v/>
      </c>
      <c r="AM326" s="358">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50"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59">
        <f>DATEVALUE(TEXT(I327, "yyyy/mm/dd"))</f>
        <v/>
      </c>
      <c r="AM327" s="358">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50"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59">
        <f>DATEVALUE(TEXT(I328, "yyyy/mm/dd"))</f>
        <v/>
      </c>
      <c r="AM328" s="358">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50"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59">
        <f>DATEVALUE(TEXT(I329, "yyyy/mm/dd"))</f>
        <v/>
      </c>
      <c r="AM329" s="358">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50"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59">
        <f>DATEVALUE(TEXT(I330, "yyyy/mm/dd"))</f>
        <v/>
      </c>
      <c r="AM330" s="358">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50"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59">
        <f>DATEVALUE(TEXT(I331, "yyyy/mm/dd"))</f>
        <v/>
      </c>
      <c r="AM331" s="358">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50"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59">
        <f>DATEVALUE(TEXT(I332, "yyyy/mm/dd"))</f>
        <v/>
      </c>
      <c r="AM332" s="358">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50"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59">
        <f>DATEVALUE(TEXT(I333, "yyyy/mm/dd"))</f>
        <v/>
      </c>
      <c r="AM333" s="358">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50"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59">
        <f>DATEVALUE(TEXT(I334, "yyyy/mm/dd"))</f>
        <v/>
      </c>
      <c r="AM334" s="358">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50"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59">
        <f>DATEVALUE(TEXT(I335, "yyyy/mm/dd"))</f>
        <v/>
      </c>
      <c r="AM335" s="358">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50"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59">
        <f>DATEVALUE(TEXT(I336, "yyyy/mm/dd"))</f>
        <v/>
      </c>
      <c r="AM336" s="358">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50"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59">
        <f>DATEVALUE(TEXT(I337, "yyyy/mm/dd"))</f>
        <v/>
      </c>
      <c r="AM337" s="358">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50"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59">
        <f>DATEVALUE(TEXT(I338, "yyyy/mm/dd"))</f>
        <v/>
      </c>
      <c r="AM338" s="358">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50"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59">
        <f>DATEVALUE(TEXT(I339, "yyyy/mm/dd"))</f>
        <v/>
      </c>
      <c r="AM339" s="358">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50"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59">
        <f>DATEVALUE(TEXT(I340, "yyyy/mm/dd"))</f>
        <v/>
      </c>
      <c r="AM340" s="358">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50"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59">
        <f>DATEVALUE(TEXT(I341, "yyyy/mm/dd"))</f>
        <v/>
      </c>
      <c r="AM341" s="358">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50"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59">
        <f>DATEVALUE(TEXT(I342, "yyyy/mm/dd"))</f>
        <v/>
      </c>
      <c r="AM342" s="358">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50"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59">
        <f>DATEVALUE(TEXT(I343, "yyyy/mm/dd"))</f>
        <v/>
      </c>
      <c r="AM343" s="358">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50"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59">
        <f>DATEVALUE(TEXT(I344, "yyyy/mm/dd"))</f>
        <v/>
      </c>
      <c r="AM344" s="358">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50"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59">
        <f>DATEVALUE(TEXT(I345, "yyyy/mm/dd"))</f>
        <v/>
      </c>
      <c r="AM345" s="358">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50"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59">
        <f>DATEVALUE(TEXT(I346, "yyyy/mm/dd"))</f>
        <v/>
      </c>
      <c r="AM346" s="358">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50"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59">
        <f>DATEVALUE(TEXT(I347, "yyyy/mm/dd"))</f>
        <v/>
      </c>
      <c r="AM347" s="358">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50"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59">
        <f>DATEVALUE(TEXT(I348, "yyyy/mm/dd"))</f>
        <v/>
      </c>
      <c r="AM348" s="358">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50"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59">
        <f>DATEVALUE(TEXT(I349, "yyyy/mm/dd"))</f>
        <v/>
      </c>
      <c r="AM349" s="358">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50"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59">
        <f>DATEVALUE(TEXT(I350, "yyyy/mm/dd"))</f>
        <v/>
      </c>
      <c r="AM350" s="358">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50"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59">
        <f>DATEVALUE(TEXT(I351, "yyyy/mm/dd"))</f>
        <v/>
      </c>
      <c r="AM351" s="358">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50"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59">
        <f>DATEVALUE(TEXT(I352, "yyyy/mm/dd"))</f>
        <v/>
      </c>
      <c r="AM352" s="358">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50"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59">
        <f>DATEVALUE(TEXT(I353, "yyyy/mm/dd"))</f>
        <v/>
      </c>
      <c r="AM353" s="358">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50"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59">
        <f>DATEVALUE(TEXT(I354, "yyyy/mm/dd"))</f>
        <v/>
      </c>
      <c r="AM354" s="358">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50"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59">
        <f>DATEVALUE(TEXT(I355, "yyyy/mm/dd"))</f>
        <v/>
      </c>
      <c r="AM355" s="358">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50"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59">
        <f>DATEVALUE(TEXT(I356, "yyyy/mm/dd"))</f>
        <v/>
      </c>
      <c r="AM356" s="358">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50"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59">
        <f>DATEVALUE(TEXT(I357, "yyyy/mm/dd"))</f>
        <v/>
      </c>
      <c r="AM357" s="358">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50"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59">
        <f>DATEVALUE(TEXT(I358, "yyyy/mm/dd"))</f>
        <v/>
      </c>
      <c r="AM358" s="358">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50"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59">
        <f>DATEVALUE(TEXT(I359, "yyyy/mm/dd"))</f>
        <v/>
      </c>
      <c r="AM359" s="358">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50"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59">
        <f>DATEVALUE(TEXT(I360, "yyyy/mm/dd"))</f>
        <v/>
      </c>
      <c r="AM360" s="358">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50"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59">
        <f>DATEVALUE(TEXT(I361, "yyyy/mm/dd"))</f>
        <v/>
      </c>
      <c r="AM361" s="358">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50"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59">
        <f>DATEVALUE(TEXT(I362, "yyyy/mm/dd"))</f>
        <v/>
      </c>
      <c r="AM362" s="358">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50"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59">
        <f>DATEVALUE(TEXT(I363, "yyyy/mm/dd"))</f>
        <v/>
      </c>
      <c r="AM363" s="358">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50"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59">
        <f>DATEVALUE(TEXT(I364, "yyyy/mm/dd"))</f>
        <v/>
      </c>
      <c r="AM364" s="358">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50"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59">
        <f>DATEVALUE(TEXT(I365, "yyyy/mm/dd"))</f>
        <v/>
      </c>
      <c r="AM365" s="358">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50"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59">
        <f>DATEVALUE(TEXT(I366, "yyyy/mm/dd"))</f>
        <v/>
      </c>
      <c r="AM366" s="358">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50"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59">
        <f>DATEVALUE(TEXT(I367, "yyyy/mm/dd"))</f>
        <v/>
      </c>
      <c r="AM367" s="358">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50"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59">
        <f>DATEVALUE(TEXT(I368, "yyyy/mm/dd"))</f>
        <v/>
      </c>
      <c r="AM368" s="358">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50"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59">
        <f>DATEVALUE(TEXT(I369, "yyyy/mm/dd"))</f>
        <v/>
      </c>
      <c r="AM369" s="358">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50"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59">
        <f>DATEVALUE(TEXT(I370, "yyyy/mm/dd"))</f>
        <v/>
      </c>
      <c r="AM370" s="358">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50"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59">
        <f>DATEVALUE(TEXT(I371, "yyyy/mm/dd"))</f>
        <v/>
      </c>
      <c r="AM371" s="358">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50"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59">
        <f>DATEVALUE(TEXT(I372, "yyyy/mm/dd"))</f>
        <v/>
      </c>
      <c r="AM372" s="358">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50"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59">
        <f>DATEVALUE(TEXT(I373, "yyyy/mm/dd"))</f>
        <v/>
      </c>
      <c r="AM373" s="358">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50"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59">
        <f>DATEVALUE(TEXT(I374, "yyyy/mm/dd"))</f>
        <v/>
      </c>
      <c r="AM374" s="358">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50"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59">
        <f>DATEVALUE(TEXT(I375, "yyyy/mm/dd"))</f>
        <v/>
      </c>
      <c r="AM375" s="358">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50"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59">
        <f>DATEVALUE(TEXT(I376, "yyyy/mm/dd"))</f>
        <v/>
      </c>
      <c r="AM376" s="358">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50"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59">
        <f>DATEVALUE(TEXT(I377, "yyyy/mm/dd"))</f>
        <v/>
      </c>
      <c r="AM377" s="358">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50"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59">
        <f>DATEVALUE(TEXT(I378, "yyyy/mm/dd"))</f>
        <v/>
      </c>
      <c r="AM378" s="358">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50"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59">
        <f>DATEVALUE(TEXT(I379, "yyyy/mm/dd"))</f>
        <v/>
      </c>
      <c r="AM379" s="358">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50"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59">
        <f>DATEVALUE(TEXT(I380, "yyyy/mm/dd"))</f>
        <v/>
      </c>
      <c r="AM380" s="358">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50"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59">
        <f>DATEVALUE(TEXT(I381, "yyyy/mm/dd"))</f>
        <v/>
      </c>
      <c r="AM381" s="358">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50"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59">
        <f>DATEVALUE(TEXT(I382, "yyyy/mm/dd"))</f>
        <v/>
      </c>
      <c r="AM382" s="358">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50"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59">
        <f>DATEVALUE(TEXT(I383, "yyyy/mm/dd"))</f>
        <v/>
      </c>
      <c r="AM383" s="358">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50"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59">
        <f>DATEVALUE(TEXT(I384, "yyyy/mm/dd"))</f>
        <v/>
      </c>
      <c r="AM384" s="358">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50"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59">
        <f>DATEVALUE(TEXT(I385, "yyyy/mm/dd"))</f>
        <v/>
      </c>
      <c r="AM385" s="358">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50"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59">
        <f>DATEVALUE(TEXT(I386, "yyyy/mm/dd"))</f>
        <v/>
      </c>
      <c r="AM386" s="358">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50"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59">
        <f>DATEVALUE(TEXT(I387, "yyyy/mm/dd"))</f>
        <v/>
      </c>
      <c r="AM387" s="358">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50"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59">
        <f>DATEVALUE(TEXT(I388, "yyyy/mm/dd"))</f>
        <v/>
      </c>
      <c r="AM388" s="358">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50"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59">
        <f>DATEVALUE(TEXT(I389, "yyyy/mm/dd"))</f>
        <v/>
      </c>
      <c r="AM389" s="358">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50"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59">
        <f>DATEVALUE(TEXT(I390, "yyyy/mm/dd"))</f>
        <v/>
      </c>
      <c r="AM390" s="358">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50"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59">
        <f>DATEVALUE(TEXT(I391, "yyyy/mm/dd"))</f>
        <v/>
      </c>
      <c r="AM391" s="358">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50"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59">
        <f>DATEVALUE(TEXT(I392, "yyyy/mm/dd"))</f>
        <v/>
      </c>
      <c r="AM392" s="358">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50"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59">
        <f>DATEVALUE(TEXT(I393, "yyyy/mm/dd"))</f>
        <v/>
      </c>
      <c r="AM393" s="358">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50"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59">
        <f>DATEVALUE(TEXT(I394, "yyyy/mm/dd"))</f>
        <v/>
      </c>
      <c r="AM394" s="358">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50"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59">
        <f>DATEVALUE(TEXT(I395, "yyyy/mm/dd"))</f>
        <v/>
      </c>
      <c r="AM395" s="358">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50"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59">
        <f>DATEVALUE(TEXT(I396, "yyyy/mm/dd"))</f>
        <v/>
      </c>
      <c r="AM396" s="358">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50"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59">
        <f>DATEVALUE(TEXT(I397, "yyyy/mm/dd"))</f>
        <v/>
      </c>
      <c r="AM397" s="358">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50"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59">
        <f>DATEVALUE(TEXT(I398, "yyyy/mm/dd"))</f>
        <v/>
      </c>
      <c r="AM398" s="358">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50"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59">
        <f>DATEVALUE(TEXT(I399, "yyyy/mm/dd"))</f>
        <v/>
      </c>
      <c r="AM399" s="358">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50"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59">
        <f>DATEVALUE(TEXT(I400, "yyyy/mm/dd"))</f>
        <v/>
      </c>
      <c r="AM400" s="358">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50"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59">
        <f>DATEVALUE(TEXT(I401, "yyyy/mm/dd"))</f>
        <v/>
      </c>
      <c r="AM401" s="358">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50"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59">
        <f>DATEVALUE(TEXT(I402, "yyyy/mm/dd"))</f>
        <v/>
      </c>
      <c r="AM402" s="358">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50"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59">
        <f>DATEVALUE(TEXT(I403, "yyyy/mm/dd"))</f>
        <v/>
      </c>
      <c r="AM403" s="358">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50"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59">
        <f>DATEVALUE(TEXT(I404, "yyyy/mm/dd"))</f>
        <v/>
      </c>
      <c r="AM404" s="358">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50"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59">
        <f>DATEVALUE(TEXT(I405, "yyyy/mm/dd"))</f>
        <v/>
      </c>
      <c r="AM405" s="358">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50"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59">
        <f>DATEVALUE(TEXT(I406, "yyyy/mm/dd"))</f>
        <v/>
      </c>
      <c r="AM406" s="358">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50"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59">
        <f>DATEVALUE(TEXT(I407, "yyyy/mm/dd"))</f>
        <v/>
      </c>
      <c r="AM407" s="358">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50"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59">
        <f>DATEVALUE(TEXT(I408, "yyyy/mm/dd"))</f>
        <v/>
      </c>
      <c r="AM408" s="358">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50"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59">
        <f>DATEVALUE(TEXT(I409, "yyyy/mm/dd"))</f>
        <v/>
      </c>
      <c r="AM409" s="358">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50"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59">
        <f>DATEVALUE(TEXT(I410, "yyyy/mm/dd"))</f>
        <v/>
      </c>
      <c r="AM410" s="358">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50"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59">
        <f>DATEVALUE(TEXT(I411, "yyyy/mm/dd"))</f>
        <v/>
      </c>
      <c r="AM411" s="358">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50"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59">
        <f>DATEVALUE(TEXT(I412, "yyyy/mm/dd"))</f>
        <v/>
      </c>
      <c r="AM412" s="358">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50"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59">
        <f>DATEVALUE(TEXT(I413, "yyyy/mm/dd"))</f>
        <v/>
      </c>
      <c r="AM413" s="358">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50"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59">
        <f>DATEVALUE(TEXT(I414, "yyyy/mm/dd"))</f>
        <v/>
      </c>
      <c r="AM414" s="358">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50"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59">
        <f>DATEVALUE(TEXT(I415, "yyyy/mm/dd"))</f>
        <v/>
      </c>
      <c r="AM415" s="358">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50"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59">
        <f>DATEVALUE(TEXT(I416, "yyyy/mm/dd"))</f>
        <v/>
      </c>
      <c r="AM416" s="358">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50"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59">
        <f>DATEVALUE(TEXT(I417, "yyyy/mm/dd"))</f>
        <v/>
      </c>
      <c r="AM417" s="358">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50"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59">
        <f>DATEVALUE(TEXT(I418, "yyyy/mm/dd"))</f>
        <v/>
      </c>
      <c r="AM418" s="358">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50"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59">
        <f>DATEVALUE(TEXT(I419, "yyyy/mm/dd"))</f>
        <v/>
      </c>
      <c r="AM419" s="358">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50"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59">
        <f>DATEVALUE(TEXT(I420, "yyyy/mm/dd"))</f>
        <v/>
      </c>
      <c r="AM420" s="358">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50"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59">
        <f>DATEVALUE(TEXT(I421, "yyyy/mm/dd"))</f>
        <v/>
      </c>
      <c r="AM421" s="358">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50"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59">
        <f>DATEVALUE(TEXT(I422, "yyyy/mm/dd"))</f>
        <v/>
      </c>
      <c r="AM422" s="358">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50"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59">
        <f>DATEVALUE(TEXT(I423, "yyyy/mm/dd"))</f>
        <v/>
      </c>
      <c r="AM423" s="358">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50"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59">
        <f>DATEVALUE(TEXT(I424, "yyyy/mm/dd"))</f>
        <v/>
      </c>
      <c r="AM424" s="358">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50"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59">
        <f>DATEVALUE(TEXT(I425, "yyyy/mm/dd"))</f>
        <v/>
      </c>
      <c r="AM425" s="358">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50"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59">
        <f>DATEVALUE(TEXT(I426, "yyyy/mm/dd"))</f>
        <v/>
      </c>
      <c r="AM426" s="358">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50"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59">
        <f>DATEVALUE(TEXT(I427, "yyyy/mm/dd"))</f>
        <v/>
      </c>
      <c r="AM427" s="358">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50"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59">
        <f>DATEVALUE(TEXT(I428, "yyyy/mm/dd"))</f>
        <v/>
      </c>
      <c r="AM428" s="358">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50"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59">
        <f>DATEVALUE(TEXT(I429, "yyyy/mm/dd"))</f>
        <v/>
      </c>
      <c r="AM429" s="358">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50"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59">
        <f>DATEVALUE(TEXT(I430, "yyyy/mm/dd"))</f>
        <v/>
      </c>
      <c r="AM430" s="358">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50"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59">
        <f>DATEVALUE(TEXT(I431, "yyyy/mm/dd"))</f>
        <v/>
      </c>
      <c r="AM431" s="358">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50"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59">
        <f>DATEVALUE(TEXT(I432, "yyyy/mm/dd"))</f>
        <v/>
      </c>
      <c r="AM432" s="358">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50"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59">
        <f>DATEVALUE(TEXT(I433, "yyyy/mm/dd"))</f>
        <v/>
      </c>
      <c r="AM433" s="358">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50"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59">
        <f>DATEVALUE(TEXT(I434, "yyyy/mm/dd"))</f>
        <v/>
      </c>
      <c r="AM434" s="358">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50"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59">
        <f>DATEVALUE(TEXT(I435, "yyyy/mm/dd"))</f>
        <v/>
      </c>
      <c r="AM435" s="358">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50"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59">
        <f>DATEVALUE(TEXT(I436, "yyyy/mm/dd"))</f>
        <v/>
      </c>
      <c r="AM436" s="358">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50"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59">
        <f>DATEVALUE(TEXT(I437, "yyyy/mm/dd"))</f>
        <v/>
      </c>
      <c r="AM437" s="358">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50"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59">
        <f>DATEVALUE(TEXT(I438, "yyyy/mm/dd"))</f>
        <v/>
      </c>
      <c r="AM438" s="358">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50"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59">
        <f>DATEVALUE(TEXT(I439, "yyyy/mm/dd"))</f>
        <v/>
      </c>
      <c r="AM439" s="358">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50"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59">
        <f>DATEVALUE(TEXT(I440, "yyyy/mm/dd"))</f>
        <v/>
      </c>
      <c r="AM440" s="358">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50"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59">
        <f>DATEVALUE(TEXT(I441, "yyyy/mm/dd"))</f>
        <v/>
      </c>
      <c r="AM441" s="358">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50"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59">
        <f>DATEVALUE(TEXT(I442, "yyyy/mm/dd"))</f>
        <v/>
      </c>
      <c r="AM442" s="358">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50"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59">
        <f>DATEVALUE(TEXT(I443, "yyyy/mm/dd"))</f>
        <v/>
      </c>
      <c r="AM443" s="358">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50"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59">
        <f>DATEVALUE(TEXT(I444, "yyyy/mm/dd"))</f>
        <v/>
      </c>
      <c r="AM444" s="358">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50"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59">
        <f>DATEVALUE(TEXT(I445, "yyyy/mm/dd"))</f>
        <v/>
      </c>
      <c r="AM445" s="358">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50"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59">
        <f>DATEVALUE(TEXT(I446, "yyyy/mm/dd"))</f>
        <v/>
      </c>
      <c r="AM446" s="358">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50"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59">
        <f>DATEVALUE(TEXT(I447, "yyyy/mm/dd"))</f>
        <v/>
      </c>
      <c r="AM447" s="358">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50"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59">
        <f>DATEVALUE(TEXT(I448, "yyyy/mm/dd"))</f>
        <v/>
      </c>
      <c r="AM448" s="358">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50"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59">
        <f>DATEVALUE(TEXT(I449, "yyyy/mm/dd"))</f>
        <v/>
      </c>
      <c r="AM449" s="358">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50"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59">
        <f>DATEVALUE(TEXT(I450, "yyyy/mm/dd"))</f>
        <v/>
      </c>
      <c r="AM450" s="358">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50"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59">
        <f>DATEVALUE(TEXT(I451, "yyyy/mm/dd"))</f>
        <v/>
      </c>
      <c r="AM451" s="358">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50"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59">
        <f>DATEVALUE(TEXT(I452, "yyyy/mm/dd"))</f>
        <v/>
      </c>
      <c r="AM452" s="358">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50"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59">
        <f>DATEVALUE(TEXT(I453, "yyyy/mm/dd"))</f>
        <v/>
      </c>
      <c r="AM453" s="358">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50"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59">
        <f>DATEVALUE(TEXT(I454, "yyyy/mm/dd"))</f>
        <v/>
      </c>
      <c r="AM454" s="358">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50"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59">
        <f>DATEVALUE(TEXT(I455, "yyyy/mm/dd"))</f>
        <v/>
      </c>
      <c r="AM455" s="358">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50"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59">
        <f>DATEVALUE(TEXT(I456, "yyyy/mm/dd"))</f>
        <v/>
      </c>
      <c r="AM456" s="358">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50"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59">
        <f>DATEVALUE(TEXT(I457, "yyyy/mm/dd"))</f>
        <v/>
      </c>
      <c r="AM457" s="358">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50"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59">
        <f>DATEVALUE(TEXT(I458, "yyyy/mm/dd"))</f>
        <v/>
      </c>
      <c r="AM458" s="358">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50"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59">
        <f>DATEVALUE(TEXT(I459, "yyyy/mm/dd"))</f>
        <v/>
      </c>
      <c r="AM459" s="358">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50"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59">
        <f>DATEVALUE(TEXT(I460, "yyyy/mm/dd"))</f>
        <v/>
      </c>
      <c r="AM460" s="358">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50"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59">
        <f>DATEVALUE(TEXT(I461, "yyyy/mm/dd"))</f>
        <v/>
      </c>
      <c r="AM461" s="358">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50"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59">
        <f>DATEVALUE(TEXT(I462, "yyyy/mm/dd"))</f>
        <v/>
      </c>
      <c r="AM462" s="358">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50"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59">
        <f>DATEVALUE(TEXT(I463, "yyyy/mm/dd"))</f>
        <v/>
      </c>
      <c r="AM463" s="358">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50"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59">
        <f>DATEVALUE(TEXT(I464, "yyyy/mm/dd"))</f>
        <v/>
      </c>
      <c r="AM464" s="358">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50"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59">
        <f>DATEVALUE(TEXT(I465, "yyyy/mm/dd"))</f>
        <v/>
      </c>
      <c r="AM465" s="358">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50"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59">
        <f>DATEVALUE(TEXT(I466, "yyyy/mm/dd"))</f>
        <v/>
      </c>
      <c r="AM466" s="358">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50"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59">
        <f>DATEVALUE(TEXT(I467, "yyyy/mm/dd"))</f>
        <v/>
      </c>
      <c r="AM467" s="358">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50"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59">
        <f>DATEVALUE(TEXT(I468, "yyyy/mm/dd"))</f>
        <v/>
      </c>
      <c r="AM468" s="358">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50"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59">
        <f>DATEVALUE(TEXT(I469, "yyyy/mm/dd"))</f>
        <v/>
      </c>
      <c r="AM469" s="358">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50"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59">
        <f>DATEVALUE(TEXT(I470, "yyyy/mm/dd"))</f>
        <v/>
      </c>
      <c r="AM470" s="358">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50"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59">
        <f>DATEVALUE(TEXT(I471, "yyyy/mm/dd"))</f>
        <v/>
      </c>
      <c r="AM471" s="358">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50"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59">
        <f>DATEVALUE(TEXT(I472, "yyyy/mm/dd"))</f>
        <v/>
      </c>
      <c r="AM472" s="358">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50"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59">
        <f>DATEVALUE(TEXT(I473, "yyyy/mm/dd"))</f>
        <v/>
      </c>
      <c r="AM473" s="358">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50"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59">
        <f>DATEVALUE(TEXT(I474, "yyyy/mm/dd"))</f>
        <v/>
      </c>
      <c r="AM474" s="358">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50"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59">
        <f>DATEVALUE(TEXT(I475, "yyyy/mm/dd"))</f>
        <v/>
      </c>
      <c r="AM475" s="358">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50"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59">
        <f>DATEVALUE(TEXT(I476, "yyyy/mm/dd"))</f>
        <v/>
      </c>
      <c r="AM476" s="358">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50"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59">
        <f>DATEVALUE(TEXT(I477, "yyyy/mm/dd"))</f>
        <v/>
      </c>
      <c r="AM477" s="358">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50"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59">
        <f>DATEVALUE(TEXT(I478, "yyyy/mm/dd"))</f>
        <v/>
      </c>
      <c r="AM478" s="358">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50"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59">
        <f>DATEVALUE(TEXT(I479, "yyyy/mm/dd"))</f>
        <v/>
      </c>
      <c r="AM479" s="358">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50"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59">
        <f>DATEVALUE(TEXT(I480, "yyyy/mm/dd"))</f>
        <v/>
      </c>
      <c r="AM480" s="358">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50"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59">
        <f>DATEVALUE(TEXT(I481, "yyyy/mm/dd"))</f>
        <v/>
      </c>
      <c r="AM481" s="358">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50"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59">
        <f>DATEVALUE(TEXT(I482, "yyyy/mm/dd"))</f>
        <v/>
      </c>
      <c r="AM482" s="358">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50"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59">
        <f>DATEVALUE(TEXT(I483, "yyyy/mm/dd"))</f>
        <v/>
      </c>
      <c r="AM483" s="358">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50"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59">
        <f>DATEVALUE(TEXT(I484, "yyyy/mm/dd"))</f>
        <v/>
      </c>
      <c r="AM484" s="358">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50"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59">
        <f>DATEVALUE(TEXT(I485, "yyyy/mm/dd"))</f>
        <v/>
      </c>
      <c r="AM485" s="358">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50"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59">
        <f>DATEVALUE(TEXT(I486, "yyyy/mm/dd"))</f>
        <v/>
      </c>
      <c r="AM486" s="358">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50"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59">
        <f>DATEVALUE(TEXT(I487, "yyyy/mm/dd"))</f>
        <v/>
      </c>
      <c r="AM487" s="358">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50"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59">
        <f>DATEVALUE(TEXT(I488, "yyyy/mm/dd"))</f>
        <v/>
      </c>
      <c r="AM488" s="358">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50"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59">
        <f>DATEVALUE(TEXT(I489, "yyyy/mm/dd"))</f>
        <v/>
      </c>
      <c r="AM489" s="358">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50"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59">
        <f>DATEVALUE(TEXT(I490, "yyyy/mm/dd"))</f>
        <v/>
      </c>
      <c r="AM490" s="358">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50"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59">
        <f>DATEVALUE(TEXT(I491, "yyyy/mm/dd"))</f>
        <v/>
      </c>
      <c r="AM491" s="358">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50"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59">
        <f>DATEVALUE(TEXT(I492, "yyyy/mm/dd"))</f>
        <v/>
      </c>
      <c r="AM492" s="358">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50"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59">
        <f>DATEVALUE(TEXT(I493, "yyyy/mm/dd"))</f>
        <v/>
      </c>
      <c r="AM493" s="358">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50"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59">
        <f>DATEVALUE(TEXT(I494, "yyyy/mm/dd"))</f>
        <v/>
      </c>
      <c r="AM494" s="358">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50"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59">
        <f>DATEVALUE(TEXT(I495, "yyyy/mm/dd"))</f>
        <v/>
      </c>
      <c r="AM495" s="358">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50"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59">
        <f>DATEVALUE(TEXT(I496, "yyyy/mm/dd"))</f>
        <v/>
      </c>
      <c r="AM496" s="358">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50"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59">
        <f>DATEVALUE(TEXT(I497, "yyyy/mm/dd"))</f>
        <v/>
      </c>
      <c r="AM497" s="358">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50"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59">
        <f>DATEVALUE(TEXT(I498, "yyyy/mm/dd"))</f>
        <v/>
      </c>
      <c r="AM498" s="358">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50"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59">
        <f>DATEVALUE(TEXT(I499, "yyyy/mm/dd"))</f>
        <v/>
      </c>
      <c r="AM499" s="358">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50"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59">
        <f>DATEVALUE(TEXT(I500, "yyyy/mm/dd"))</f>
        <v/>
      </c>
      <c r="AM500" s="358">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50"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59">
        <f>DATEVALUE(TEXT(I501, "yyyy/mm/dd"))</f>
        <v/>
      </c>
      <c r="AM501" s="358">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50"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59">
        <f>DATEVALUE(TEXT(I502, "yyyy/mm/dd"))</f>
        <v/>
      </c>
      <c r="AM502" s="358">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50" t="n">
        <v>45779.62847222222</v>
      </c>
      <c r="Y503" s="12" t="n"/>
      <c r="Z503" s="12" t="n">
        <v>0.6</v>
      </c>
      <c r="AA503" s="12" t="n"/>
      <c r="AB503" s="12" t="inlineStr">
        <is>
          <t>到場處理</t>
        </is>
      </c>
      <c r="AC503" s="360" t="inlineStr">
        <is>
          <t>PMQ2+EDC</t>
        </is>
      </c>
      <c r="AD503" s="12" t="inlineStr">
        <is>
          <t>O</t>
        </is>
      </c>
      <c r="AE503" s="12" t="n"/>
      <c r="AF503" s="12" t="n"/>
      <c r="AG503" s="12" t="n"/>
      <c r="AH503" s="12" t="n"/>
      <c r="AI503" s="12" t="n"/>
      <c r="AJ503" s="12" t="inlineStr">
        <is>
          <t>O</t>
        </is>
      </c>
      <c r="AK503" s="12" t="inlineStr">
        <is>
          <t>O</t>
        </is>
      </c>
      <c r="AL503" s="359">
        <f>DATEVALUE(TEXT(I503, "yyyy/mm/dd"))</f>
        <v/>
      </c>
      <c r="AM503" s="358">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50"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59">
        <f>DATEVALUE(TEXT(I504, "yyyy/mm/dd"))</f>
        <v/>
      </c>
      <c r="AM504" s="358">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50"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59">
        <f>DATEVALUE(TEXT(I505, "yyyy/mm/dd"))</f>
        <v/>
      </c>
      <c r="AM505" s="358">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50"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59">
        <f>DATEVALUE(TEXT(I506, "yyyy/mm/dd"))</f>
        <v/>
      </c>
      <c r="AM506" s="358">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50"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59">
        <f>DATEVALUE(TEXT(I507, "yyyy/mm/dd"))</f>
        <v/>
      </c>
      <c r="AM507" s="358">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50"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59">
        <f>DATEVALUE(TEXT(I508, "yyyy/mm/dd"))</f>
        <v/>
      </c>
      <c r="AM508" s="358">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50"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59">
        <f>DATEVALUE(TEXT(I509, "yyyy/mm/dd"))</f>
        <v/>
      </c>
      <c r="AM509" s="358">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50"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59">
        <f>DATEVALUE(TEXT(I510, "yyyy/mm/dd"))</f>
        <v/>
      </c>
      <c r="AM510" s="358">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50"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59">
        <f>DATEVALUE(TEXT(I511, "yyyy/mm/dd"))</f>
        <v/>
      </c>
      <c r="AM511" s="358">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50"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59">
        <f>DATEVALUE(TEXT(I512, "yyyy/mm/dd"))</f>
        <v/>
      </c>
      <c r="AM512" s="358">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50"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59">
        <f>DATEVALUE(TEXT(I513, "yyyy/mm/dd"))</f>
        <v/>
      </c>
      <c r="AM513" s="358">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50"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59">
        <f>DATEVALUE(TEXT(I514, "yyyy/mm/dd"))</f>
        <v/>
      </c>
      <c r="AM514" s="358">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50"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59">
        <f>DATEVALUE(TEXT(I515, "yyyy/mm/dd"))</f>
        <v/>
      </c>
      <c r="AM515" s="358">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50"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59">
        <f>DATEVALUE(TEXT(I516, "yyyy/mm/dd"))</f>
        <v/>
      </c>
      <c r="AM516" s="358">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50"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59">
        <f>DATEVALUE(TEXT(I517, "yyyy/mm/dd"))</f>
        <v/>
      </c>
      <c r="AM517" s="358">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50"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59">
        <f>DATEVALUE(TEXT(I518, "yyyy/mm/dd"))</f>
        <v/>
      </c>
      <c r="AM518" s="358">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50"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59">
        <f>DATEVALUE(TEXT(I519, "yyyy/mm/dd"))</f>
        <v/>
      </c>
      <c r="AM519" s="358">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50"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59">
        <f>DATEVALUE(TEXT(I520, "yyyy/mm/dd"))</f>
        <v/>
      </c>
      <c r="AM520" s="358">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50"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59">
        <f>DATEVALUE(TEXT(I521, "yyyy/mm/dd"))</f>
        <v/>
      </c>
      <c r="AM521" s="358">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50"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59">
        <f>DATEVALUE(TEXT(I522, "yyyy/mm/dd"))</f>
        <v/>
      </c>
      <c r="AM522" s="358">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50"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59">
        <f>DATEVALUE(TEXT(I523, "yyyy/mm/dd"))</f>
        <v/>
      </c>
      <c r="AM523" s="358">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50"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59">
        <f>DATEVALUE(TEXT(I524, "yyyy/mm/dd"))</f>
        <v/>
      </c>
      <c r="AM524" s="358">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50"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59">
        <f>DATEVALUE(TEXT(I525, "yyyy/mm/dd"))</f>
        <v/>
      </c>
      <c r="AM525" s="358">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50"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59">
        <f>DATEVALUE(TEXT(I526, "yyyy/mm/dd"))</f>
        <v/>
      </c>
      <c r="AM526" s="358">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50"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59">
        <f>DATEVALUE(TEXT(I527, "yyyy/mm/dd"))</f>
        <v/>
      </c>
      <c r="AM527" s="358">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50"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59">
        <f>DATEVALUE(TEXT(I528, "yyyy/mm/dd"))</f>
        <v/>
      </c>
      <c r="AM528" s="358">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50"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59">
        <f>DATEVALUE(TEXT(I529, "yyyy/mm/dd"))</f>
        <v/>
      </c>
      <c r="AM529" s="358">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50"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59">
        <f>DATEVALUE(TEXT(I530, "yyyy/mm/dd"))</f>
        <v/>
      </c>
      <c r="AM530" s="358">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50"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59">
        <f>DATEVALUE(TEXT(I531, "yyyy/mm/dd"))</f>
        <v/>
      </c>
      <c r="AM531" s="358">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50"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59">
        <f>DATEVALUE(TEXT(I532, "yyyy/mm/dd"))</f>
        <v/>
      </c>
      <c r="AM532" s="358">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50"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59">
        <f>DATEVALUE(TEXT(I533, "yyyy/mm/dd"))</f>
        <v/>
      </c>
      <c r="AM533" s="358">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50"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59">
        <f>DATEVALUE(TEXT(I534, "yyyy/mm/dd"))</f>
        <v/>
      </c>
      <c r="AM534" s="358">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50"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59">
        <f>DATEVALUE(TEXT(I535, "yyyy/mm/dd"))</f>
        <v/>
      </c>
      <c r="AM535" s="358">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50"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59">
        <f>DATEVALUE(TEXT(I536, "yyyy/mm/dd"))</f>
        <v/>
      </c>
      <c r="AM536" s="358">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50"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59">
        <f>DATEVALUE(TEXT(I537, "yyyy/mm/dd"))</f>
        <v/>
      </c>
      <c r="AM537" s="358">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50"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59">
        <f>DATEVALUE(TEXT(I538, "yyyy/mm/dd"))</f>
        <v/>
      </c>
      <c r="AM538" s="358">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50"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59">
        <f>DATEVALUE(TEXT(I539, "yyyy/mm/dd"))</f>
        <v/>
      </c>
      <c r="AM539" s="358">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50" t="n">
        <v>45786.51736111111</v>
      </c>
      <c r="Y540" s="12" t="inlineStr">
        <is>
          <t>2025-05-12 16:21:00</t>
        </is>
      </c>
      <c r="Z540" s="12" t="n">
        <v>0.5</v>
      </c>
      <c r="AA540" s="12" t="n"/>
      <c r="AB540" s="12" t="inlineStr">
        <is>
          <t>到場處理</t>
        </is>
      </c>
      <c r="AC540" s="361" t="inlineStr">
        <is>
          <t>HUB已經改回1PORT，測試正常</t>
        </is>
      </c>
      <c r="AD540" s="12" t="n"/>
      <c r="AE540" s="12" t="n"/>
      <c r="AF540" s="12" t="n"/>
      <c r="AG540" s="12" t="n"/>
      <c r="AH540" s="12" t="n"/>
      <c r="AI540" s="12" t="n"/>
      <c r="AJ540" s="12" t="n"/>
      <c r="AK540" s="12" t="inlineStr">
        <is>
          <t>O</t>
        </is>
      </c>
      <c r="AL540" s="359">
        <f>DATEVALUE(TEXT(I540, "yyyy/mm/dd"))</f>
        <v/>
      </c>
      <c r="AM540" s="358">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50"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59">
        <f>DATEVALUE(TEXT(I541, "yyyy/mm/dd"))</f>
        <v/>
      </c>
      <c r="AM541" s="358">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50"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59">
        <f>DATEVALUE(TEXT(I542, "yyyy/mm/dd"))</f>
        <v/>
      </c>
      <c r="AM542" s="358">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50"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59">
        <f>DATEVALUE(TEXT(I543, "yyyy/mm/dd"))</f>
        <v/>
      </c>
      <c r="AM543" s="358">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50"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59">
        <f>DATEVALUE(TEXT(I544, "yyyy/mm/dd"))</f>
        <v/>
      </c>
      <c r="AM544" s="358">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50"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59">
        <f>DATEVALUE(TEXT(I545, "yyyy/mm/dd"))</f>
        <v/>
      </c>
      <c r="AM545" s="358">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50"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59">
        <f>DATEVALUE(TEXT(I546, "yyyy/mm/dd"))</f>
        <v/>
      </c>
      <c r="AM546" s="358">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50"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59">
        <f>DATEVALUE(TEXT(I547, "yyyy/mm/dd"))</f>
        <v/>
      </c>
      <c r="AM547" s="358">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50"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59">
        <f>DATEVALUE(TEXT(I548, "yyyy/mm/dd"))</f>
        <v/>
      </c>
      <c r="AM548" s="358">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50"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59">
        <f>DATEVALUE(TEXT(I549, "yyyy/mm/dd"))</f>
        <v/>
      </c>
      <c r="AM549" s="358">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50"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59">
        <f>DATEVALUE(TEXT(I550, "yyyy/mm/dd"))</f>
        <v/>
      </c>
      <c r="AM550" s="358">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50"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59">
        <f>DATEVALUE(TEXT(I551, "yyyy/mm/dd"))</f>
        <v/>
      </c>
      <c r="AM551" s="358">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50"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59">
        <f>DATEVALUE(TEXT(I552, "yyyy/mm/dd"))</f>
        <v/>
      </c>
      <c r="AM552" s="358">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50"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59">
        <f>DATEVALUE(TEXT(I553, "yyyy/mm/dd"))</f>
        <v/>
      </c>
      <c r="AM553" s="358">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50"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59">
        <f>DATEVALUE(TEXT(I554, "yyyy/mm/dd"))</f>
        <v/>
      </c>
      <c r="AM554" s="358">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50"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59">
        <f>DATEVALUE(TEXT(I555, "yyyy/mm/dd"))</f>
        <v/>
      </c>
      <c r="AM555" s="358">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50"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59">
        <f>DATEVALUE(TEXT(I556, "yyyy/mm/dd"))</f>
        <v/>
      </c>
      <c r="AM556" s="358">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50"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59">
        <f>DATEVALUE(TEXT(I557, "yyyy/mm/dd"))</f>
        <v/>
      </c>
      <c r="AM557" s="358">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50"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59">
        <f>DATEVALUE(TEXT(I558, "yyyy/mm/dd"))</f>
        <v/>
      </c>
      <c r="AM558" s="358">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50"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59">
        <f>DATEVALUE(TEXT(I559, "yyyy/mm/dd"))</f>
        <v/>
      </c>
      <c r="AM559" s="358">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50"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59">
        <f>DATEVALUE(TEXT(I560, "yyyy/mm/dd"))</f>
        <v/>
      </c>
      <c r="AM560" s="358">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50"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59">
        <f>DATEVALUE(TEXT(I561, "yyyy/mm/dd"))</f>
        <v/>
      </c>
      <c r="AM561" s="358">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50"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59">
        <f>DATEVALUE(TEXT(I562, "yyyy/mm/dd"))</f>
        <v/>
      </c>
      <c r="AM562" s="358">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50"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59">
        <f>DATEVALUE(TEXT(I563, "yyyy/mm/dd"))</f>
        <v/>
      </c>
      <c r="AM563" s="358">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50"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59">
        <f>DATEVALUE(TEXT(I564, "yyyy/mm/dd"))</f>
        <v/>
      </c>
      <c r="AM564" s="358">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50"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59">
        <f>DATEVALUE(TEXT(I565, "yyyy/mm/dd"))</f>
        <v/>
      </c>
      <c r="AM565" s="358">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50"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59">
        <f>DATEVALUE(TEXT(I566, "yyyy/mm/dd"))</f>
        <v/>
      </c>
      <c r="AM566" s="358">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50"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59">
        <f>DATEVALUE(TEXT(I567, "yyyy/mm/dd"))</f>
        <v/>
      </c>
      <c r="AM567" s="358">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50"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59">
        <f>DATEVALUE(TEXT(I568, "yyyy/mm/dd"))</f>
        <v/>
      </c>
      <c r="AM568" s="358">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50"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59">
        <f>DATEVALUE(TEXT(I569, "yyyy/mm/dd"))</f>
        <v/>
      </c>
      <c r="AM569" s="358">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50"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59">
        <f>DATEVALUE(TEXT(I570, "yyyy/mm/dd"))</f>
        <v/>
      </c>
      <c r="AM570" s="358">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50"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59">
        <f>DATEVALUE(TEXT(I571, "yyyy/mm/dd"))</f>
        <v/>
      </c>
      <c r="AM571" s="358">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50"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59">
        <f>DATEVALUE(TEXT(I572, "yyyy/mm/dd"))</f>
        <v/>
      </c>
      <c r="AM572" s="358">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50"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59">
        <f>DATEVALUE(TEXT(I573, "yyyy/mm/dd"))</f>
        <v/>
      </c>
      <c r="AM573" s="358">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50"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59">
        <f>DATEVALUE(TEXT(I574, "yyyy/mm/dd"))</f>
        <v/>
      </c>
      <c r="AM574" s="358">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50"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59">
        <f>DATEVALUE(TEXT(I575, "yyyy/mm/dd"))</f>
        <v/>
      </c>
      <c r="AM575" s="358">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50"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59">
        <f>DATEVALUE(TEXT(I576, "yyyy/mm/dd"))</f>
        <v/>
      </c>
      <c r="AM576" s="358">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50"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59">
        <f>DATEVALUE(TEXT(I577, "yyyy/mm/dd"))</f>
        <v/>
      </c>
      <c r="AM577" s="358">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50"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59">
        <f>DATEVALUE(TEXT(I578, "yyyy/mm/dd"))</f>
        <v/>
      </c>
      <c r="AM578" s="358">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50"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59">
        <f>DATEVALUE(TEXT(I579, "yyyy/mm/dd"))</f>
        <v/>
      </c>
      <c r="AM579" s="358">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50"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59">
        <f>DATEVALUE(TEXT(I580, "yyyy/mm/dd"))</f>
        <v/>
      </c>
      <c r="AM580" s="358">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50"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59">
        <f>DATEVALUE(TEXT(I581, "yyyy/mm/dd"))</f>
        <v/>
      </c>
      <c r="AM581" s="358">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50"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59">
        <f>DATEVALUE(TEXT(I582, "yyyy/mm/dd"))</f>
        <v/>
      </c>
      <c r="AM582" s="358">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50"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59">
        <f>DATEVALUE(TEXT(I583, "yyyy/mm/dd"))</f>
        <v/>
      </c>
      <c r="AM583" s="358">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50"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59">
        <f>DATEVALUE(TEXT(I584, "yyyy/mm/dd"))</f>
        <v/>
      </c>
      <c r="AM584" s="358">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50"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59">
        <f>DATEVALUE(TEXT(I585, "yyyy/mm/dd"))</f>
        <v/>
      </c>
      <c r="AM585" s="358">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50"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59">
        <f>DATEVALUE(TEXT(I586, "yyyy/mm/dd"))</f>
        <v/>
      </c>
      <c r="AM586" s="358">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50"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59">
        <f>DATEVALUE(TEXT(I587, "yyyy/mm/dd"))</f>
        <v/>
      </c>
      <c r="AM587" s="358">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50"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59">
        <f>DATEVALUE(TEXT(I588, "yyyy/mm/dd"))</f>
        <v/>
      </c>
      <c r="AM588" s="358">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50"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59">
        <f>DATEVALUE(TEXT(I589, "yyyy/mm/dd"))</f>
        <v/>
      </c>
      <c r="AM589" s="358">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50"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59">
        <f>DATEVALUE(TEXT(I590, "yyyy/mm/dd"))</f>
        <v/>
      </c>
      <c r="AM590" s="358">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50"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59">
        <f>DATEVALUE(TEXT(I591, "yyyy/mm/dd"))</f>
        <v/>
      </c>
      <c r="AM591" s="358">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50"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59">
        <f>DATEVALUE(TEXT(I592, "yyyy/mm/dd"))</f>
        <v/>
      </c>
      <c r="AM592" s="358">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50"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59">
        <f>DATEVALUE(TEXT(I593, "yyyy/mm/dd"))</f>
        <v/>
      </c>
      <c r="AM593" s="358">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50"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59">
        <f>DATEVALUE(TEXT(I594, "yyyy/mm/dd"))</f>
        <v/>
      </c>
      <c r="AM594" s="358">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50"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59">
        <f>DATEVALUE(TEXT(I595, "yyyy/mm/dd"))</f>
        <v/>
      </c>
      <c r="AM595" s="358">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50"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59">
        <f>DATEVALUE(TEXT(I596, "yyyy/mm/dd"))</f>
        <v/>
      </c>
      <c r="AM596" s="358">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50"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59">
        <f>DATEVALUE(TEXT(I597, "yyyy/mm/dd"))</f>
        <v/>
      </c>
      <c r="AM597" s="358">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50"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59">
        <f>DATEVALUE(TEXT(I598, "yyyy/mm/dd"))</f>
        <v/>
      </c>
      <c r="AM598" s="358">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50"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59">
        <f>DATEVALUE(TEXT(I599, "yyyy/mm/dd"))</f>
        <v/>
      </c>
      <c r="AM599" s="358">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50"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59">
        <f>DATEVALUE(TEXT(I600, "yyyy/mm/dd"))</f>
        <v/>
      </c>
      <c r="AM600" s="358">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50"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59">
        <f>DATEVALUE(TEXT(I601, "yyyy/mm/dd"))</f>
        <v/>
      </c>
      <c r="AM601" s="358">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50"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59">
        <f>DATEVALUE(TEXT(I602, "yyyy/mm/dd"))</f>
        <v/>
      </c>
      <c r="AM602" s="358">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50"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59">
        <f>DATEVALUE(TEXT(I603, "yyyy/mm/dd"))</f>
        <v/>
      </c>
      <c r="AM603" s="358">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50"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59">
        <f>DATEVALUE(TEXT(I604, "yyyy/mm/dd"))</f>
        <v/>
      </c>
      <c r="AM604" s="358">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50"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59">
        <f>DATEVALUE(TEXT(I605, "yyyy/mm/dd"))</f>
        <v/>
      </c>
      <c r="AM605" s="358">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50"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59">
        <f>DATEVALUE(TEXT(I606, "yyyy/mm/dd"))</f>
        <v/>
      </c>
      <c r="AM606" s="358">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50"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59">
        <f>DATEVALUE(TEXT(I607, "yyyy/mm/dd"))</f>
        <v/>
      </c>
      <c r="AM607" s="358">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50"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59">
        <f>DATEVALUE(TEXT(I608, "yyyy/mm/dd"))</f>
        <v/>
      </c>
      <c r="AM608" s="358">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50"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59">
        <f>DATEVALUE(TEXT(I609, "yyyy/mm/dd"))</f>
        <v/>
      </c>
      <c r="AM609" s="358">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50"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59">
        <f>DATEVALUE(TEXT(I610, "yyyy/mm/dd"))</f>
        <v/>
      </c>
      <c r="AM610" s="358">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50"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59">
        <f>DATEVALUE(TEXT(I611, "yyyy/mm/dd"))</f>
        <v/>
      </c>
      <c r="AM611" s="358">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50"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59">
        <f>DATEVALUE(TEXT(I612, "yyyy/mm/dd"))</f>
        <v/>
      </c>
      <c r="AM612" s="358">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50"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59">
        <f>DATEVALUE(TEXT(I613, "yyyy/mm/dd"))</f>
        <v/>
      </c>
      <c r="AM613" s="358">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50"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59">
        <f>DATEVALUE(TEXT(I614, "yyyy/mm/dd"))</f>
        <v/>
      </c>
      <c r="AM614" s="358">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50"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59">
        <f>DATEVALUE(TEXT(I615, "yyyy/mm/dd"))</f>
        <v/>
      </c>
      <c r="AM615" s="358">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50"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59">
        <f>DATEVALUE(TEXT(I616, "yyyy/mm/dd"))</f>
        <v/>
      </c>
      <c r="AM616" s="358">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50"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59">
        <f>DATEVALUE(TEXT(I617, "yyyy/mm/dd"))</f>
        <v/>
      </c>
      <c r="AM617" s="358">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50"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59">
        <f>DATEVALUE(TEXT(I618, "yyyy/mm/dd"))</f>
        <v/>
      </c>
      <c r="AM618" s="358">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50"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59">
        <f>DATEVALUE(TEXT(I619, "yyyy/mm/dd"))</f>
        <v/>
      </c>
      <c r="AM619" s="358">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50"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59">
        <f>DATEVALUE(TEXT(I620, "yyyy/mm/dd"))</f>
        <v/>
      </c>
      <c r="AM620" s="358">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50"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59">
        <f>DATEVALUE(TEXT(I621, "yyyy/mm/dd"))</f>
        <v/>
      </c>
      <c r="AM621" s="358">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50"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59">
        <f>DATEVALUE(TEXT(I622, "yyyy/mm/dd"))</f>
        <v/>
      </c>
      <c r="AM622" s="358">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50"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59">
        <f>DATEVALUE(TEXT(I623, "yyyy/mm/dd"))</f>
        <v/>
      </c>
      <c r="AM623" s="358">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50"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59">
        <f>DATEVALUE(TEXT(I624, "yyyy/mm/dd"))</f>
        <v/>
      </c>
      <c r="AM624" s="358">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50"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59">
        <f>DATEVALUE(TEXT(I625, "yyyy/mm/dd"))</f>
        <v/>
      </c>
      <c r="AM625" s="358">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50"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59">
        <f>DATEVALUE(TEXT(I626, "yyyy/mm/dd"))</f>
        <v/>
      </c>
      <c r="AM626" s="358">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50"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59">
        <f>DATEVALUE(TEXT(I627, "yyyy/mm/dd"))</f>
        <v/>
      </c>
      <c r="AM627" s="358">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50"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59">
        <f>DATEVALUE(TEXT(I628, "yyyy/mm/dd"))</f>
        <v/>
      </c>
      <c r="AM628" s="358">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50"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59">
        <f>DATEVALUE(TEXT(I629, "yyyy/mm/dd"))</f>
        <v/>
      </c>
      <c r="AM629" s="358">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50"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59">
        <f>DATEVALUE(TEXT(I630, "yyyy/mm/dd"))</f>
        <v/>
      </c>
      <c r="AM630" s="358">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50"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59">
        <f>DATEVALUE(TEXT(I631, "yyyy/mm/dd"))</f>
        <v/>
      </c>
      <c r="AM631" s="358">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50"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59">
        <f>DATEVALUE(TEXT(I632, "yyyy/mm/dd"))</f>
        <v/>
      </c>
      <c r="AM632" s="358">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50"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59">
        <f>DATEVALUE(TEXT(I633, "yyyy/mm/dd"))</f>
        <v/>
      </c>
      <c r="AM633" s="358">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50"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59">
        <f>DATEVALUE(TEXT(I634, "yyyy/mm/dd"))</f>
        <v/>
      </c>
      <c r="AM634" s="358">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50"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59">
        <f>DATEVALUE(TEXT(I635, "yyyy/mm/dd"))</f>
        <v/>
      </c>
      <c r="AM635" s="358">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50"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59">
        <f>DATEVALUE(TEXT(I636, "yyyy/mm/dd"))</f>
        <v/>
      </c>
      <c r="AM636" s="358">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50"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59">
        <f>DATEVALUE(TEXT(I637, "yyyy/mm/dd"))</f>
        <v/>
      </c>
      <c r="AM637" s="358">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50"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59">
        <f>DATEVALUE(TEXT(I638, "yyyy/mm/dd"))</f>
        <v/>
      </c>
      <c r="AM638" s="358">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50"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59">
        <f>DATEVALUE(TEXT(I639, "yyyy/mm/dd"))</f>
        <v/>
      </c>
      <c r="AM639" s="358">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50"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59">
        <f>DATEVALUE(TEXT(I640, "yyyy/mm/dd"))</f>
        <v/>
      </c>
      <c r="AM640" s="358">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50"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59">
        <f>DATEVALUE(TEXT(I641, "yyyy/mm/dd"))</f>
        <v/>
      </c>
      <c r="AM641" s="358">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50"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59">
        <f>DATEVALUE(TEXT(I642, "yyyy/mm/dd"))</f>
        <v/>
      </c>
      <c r="AM642" s="358">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50"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59">
        <f>DATEVALUE(TEXT(I643, "yyyy/mm/dd"))</f>
        <v/>
      </c>
      <c r="AM643" s="358">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50"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59">
        <f>DATEVALUE(TEXT(I644, "yyyy/mm/dd"))</f>
        <v/>
      </c>
      <c r="AM644" s="358">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50"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59">
        <f>DATEVALUE(TEXT(I645, "yyyy/mm/dd"))</f>
        <v/>
      </c>
      <c r="AM645" s="358">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50"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59">
        <f>DATEVALUE(TEXT(I646, "yyyy/mm/dd"))</f>
        <v/>
      </c>
      <c r="AM646" s="358">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50"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59">
        <f>DATEVALUE(TEXT(I647, "yyyy/mm/dd"))</f>
        <v/>
      </c>
      <c r="AM647" s="358">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50"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59">
        <f>DATEVALUE(TEXT(I648, "yyyy/mm/dd"))</f>
        <v/>
      </c>
      <c r="AM648" s="358">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50"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59">
        <f>DATEVALUE(TEXT(I649, "yyyy/mm/dd"))</f>
        <v/>
      </c>
      <c r="AM649" s="358">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50"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59">
        <f>DATEVALUE(TEXT(I650, "yyyy/mm/dd"))</f>
        <v/>
      </c>
      <c r="AM650" s="358">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50"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59">
        <f>DATEVALUE(TEXT(I651, "yyyy/mm/dd"))</f>
        <v/>
      </c>
      <c r="AM651" s="358">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50"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59">
        <f>DATEVALUE(TEXT(I652, "yyyy/mm/dd"))</f>
        <v/>
      </c>
      <c r="AM652" s="358">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50"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59">
        <f>DATEVALUE(TEXT(I653, "yyyy/mm/dd"))</f>
        <v/>
      </c>
      <c r="AM653" s="358">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50"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59">
        <f>DATEVALUE(TEXT(I654, "yyyy/mm/dd"))</f>
        <v/>
      </c>
      <c r="AM654" s="358">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50"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59">
        <f>DATEVALUE(TEXT(I655, "yyyy/mm/dd"))</f>
        <v/>
      </c>
      <c r="AM655" s="358">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50"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59">
        <f>DATEVALUE(TEXT(I656, "yyyy/mm/dd"))</f>
        <v/>
      </c>
      <c r="AM656" s="358">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50"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59">
        <f>DATEVALUE(TEXT(I657, "yyyy/mm/dd"))</f>
        <v/>
      </c>
      <c r="AM657" s="358">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50"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59">
        <f>DATEVALUE(TEXT(I658, "yyyy/mm/dd"))</f>
        <v/>
      </c>
      <c r="AM658" s="358">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50"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59">
        <f>DATEVALUE(TEXT(I659, "yyyy/mm/dd"))</f>
        <v/>
      </c>
      <c r="AM659" s="358">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50"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59">
        <f>DATEVALUE(TEXT(I660, "yyyy/mm/dd"))</f>
        <v/>
      </c>
      <c r="AM660" s="358">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50"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59">
        <f>DATEVALUE(TEXT(I661, "yyyy/mm/dd"))</f>
        <v/>
      </c>
      <c r="AM661" s="358">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50"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59">
        <f>DATEVALUE(TEXT(I662, "yyyy/mm/dd"))</f>
        <v/>
      </c>
      <c r="AM662" s="358">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50"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59">
        <f>DATEVALUE(TEXT(I663, "yyyy/mm/dd"))</f>
        <v/>
      </c>
      <c r="AM663" s="358">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50"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59">
        <f>DATEVALUE(TEXT(I664, "yyyy/mm/dd"))</f>
        <v/>
      </c>
      <c r="AM664" s="358">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50"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59">
        <f>DATEVALUE(TEXT(I665, "yyyy/mm/dd"))</f>
        <v/>
      </c>
      <c r="AM665" s="358">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50"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59">
        <f>DATEVALUE(TEXT(I666, "yyyy/mm/dd"))</f>
        <v/>
      </c>
      <c r="AM666" s="358">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50"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59">
        <f>DATEVALUE(TEXT(I667, "yyyy/mm/dd"))</f>
        <v/>
      </c>
      <c r="AM667" s="358">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50"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59">
        <f>DATEVALUE(TEXT(I668, "yyyy/mm/dd"))</f>
        <v/>
      </c>
      <c r="AM668" s="358">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50"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59">
        <f>DATEVALUE(TEXT(I669, "yyyy/mm/dd"))</f>
        <v/>
      </c>
      <c r="AM669" s="358">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50"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59">
        <f>DATEVALUE(TEXT(I670, "yyyy/mm/dd"))</f>
        <v/>
      </c>
      <c r="AM670" s="358">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50"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59">
        <f>DATEVALUE(TEXT(I671, "yyyy/mm/dd"))</f>
        <v/>
      </c>
      <c r="AM671" s="358">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50"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59">
        <f>DATEVALUE(TEXT(I672, "yyyy/mm/dd"))</f>
        <v/>
      </c>
      <c r="AM672" s="358">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50"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59">
        <f>DATEVALUE(TEXT(I673, "yyyy/mm/dd"))</f>
        <v/>
      </c>
      <c r="AM673" s="358">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50"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59">
        <f>DATEVALUE(TEXT(I674, "yyyy/mm/dd"))</f>
        <v/>
      </c>
      <c r="AM674" s="358">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50"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59">
        <f>DATEVALUE(TEXT(I675, "yyyy/mm/dd"))</f>
        <v/>
      </c>
      <c r="AM675" s="358">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50"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59">
        <f>DATEVALUE(TEXT(I676, "yyyy/mm/dd"))</f>
        <v/>
      </c>
      <c r="AM676" s="358">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50"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59">
        <f>DATEVALUE(TEXT(I677, "yyyy/mm/dd"))</f>
        <v/>
      </c>
      <c r="AM677" s="358">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50"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59">
        <f>DATEVALUE(TEXT(I678, "yyyy/mm/dd"))</f>
        <v/>
      </c>
      <c r="AM678" s="358">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50"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59">
        <f>DATEVALUE(TEXT(I679, "yyyy/mm/dd"))</f>
        <v/>
      </c>
      <c r="AM679" s="358">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50"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59">
        <f>DATEVALUE(TEXT(I680, "yyyy/mm/dd"))</f>
        <v/>
      </c>
      <c r="AM680" s="358">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50"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59">
        <f>DATEVALUE(TEXT(I681, "yyyy/mm/dd"))</f>
        <v/>
      </c>
      <c r="AM681" s="358">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50"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59">
        <f>DATEVALUE(TEXT(I682, "yyyy/mm/dd"))</f>
        <v/>
      </c>
      <c r="AM682" s="358">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50"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59">
        <f>DATEVALUE(TEXT(I683, "yyyy/mm/dd"))</f>
        <v/>
      </c>
      <c r="AM683" s="358">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50"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59">
        <f>DATEVALUE(TEXT(I684, "yyyy/mm/dd"))</f>
        <v/>
      </c>
      <c r="AM684" s="358">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50"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59">
        <f>DATEVALUE(TEXT(I685, "yyyy/mm/dd"))</f>
        <v/>
      </c>
      <c r="AM685" s="358">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50"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59">
        <f>DATEVALUE(TEXT(I686, "yyyy/mm/dd"))</f>
        <v/>
      </c>
      <c r="AM686" s="358">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50"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59">
        <f>DATEVALUE(TEXT(I687, "yyyy/mm/dd"))</f>
        <v/>
      </c>
      <c r="AM687" s="358">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50"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59">
        <f>DATEVALUE(TEXT(I688, "yyyy/mm/dd"))</f>
        <v/>
      </c>
      <c r="AM688" s="358">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50"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59">
        <f>DATEVALUE(TEXT(I689, "yyyy/mm/dd"))</f>
        <v/>
      </c>
      <c r="AM689" s="358">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50"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59">
        <f>DATEVALUE(TEXT(I690, "yyyy/mm/dd"))</f>
        <v/>
      </c>
      <c r="AM690" s="358">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50"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59">
        <f>DATEVALUE(TEXT(I691, "yyyy/mm/dd"))</f>
        <v/>
      </c>
      <c r="AM691" s="358">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50"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59">
        <f>DATEVALUE(TEXT(I692, "yyyy/mm/dd"))</f>
        <v/>
      </c>
      <c r="AM692" s="358">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50"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59">
        <f>DATEVALUE(TEXT(I693, "yyyy/mm/dd"))</f>
        <v/>
      </c>
      <c r="AM693" s="358">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50"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59">
        <f>DATEVALUE(TEXT(I694, "yyyy/mm/dd"))</f>
        <v/>
      </c>
      <c r="AM694" s="358">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50"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59">
        <f>DATEVALUE(TEXT(I695, "yyyy/mm/dd"))</f>
        <v/>
      </c>
      <c r="AM695" s="358">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50"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59">
        <f>DATEVALUE(TEXT(I696, "yyyy/mm/dd"))</f>
        <v/>
      </c>
      <c r="AM696" s="358">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50"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59">
        <f>DATEVALUE(TEXT(I697, "yyyy/mm/dd"))</f>
        <v/>
      </c>
      <c r="AM697" s="358">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50"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59">
        <f>DATEVALUE(TEXT(I698, "yyyy/mm/dd"))</f>
        <v/>
      </c>
      <c r="AM698" s="358">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50"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59">
        <f>DATEVALUE(TEXT(I699, "yyyy/mm/dd"))</f>
        <v/>
      </c>
      <c r="AM699" s="358">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50"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59">
        <f>DATEVALUE(TEXT(I700, "yyyy/mm/dd"))</f>
        <v/>
      </c>
      <c r="AM700" s="358">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50"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59">
        <f>DATEVALUE(TEXT(I701, "yyyy/mm/dd"))</f>
        <v/>
      </c>
      <c r="AM701" s="358">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50"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59">
        <f>DATEVALUE(TEXT(I702, "yyyy/mm/dd"))</f>
        <v/>
      </c>
      <c r="AM702" s="358">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50"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59">
        <f>DATEVALUE(TEXT(I703, "yyyy/mm/dd"))</f>
        <v/>
      </c>
      <c r="AM703" s="358">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50"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59">
        <f>DATEVALUE(TEXT(I704, "yyyy/mm/dd"))</f>
        <v/>
      </c>
      <c r="AM704" s="358">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50"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59">
        <f>DATEVALUE(TEXT(I705, "yyyy/mm/dd"))</f>
        <v/>
      </c>
      <c r="AM705" s="358">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50"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59">
        <f>DATEVALUE(TEXT(I706, "yyyy/mm/dd"))</f>
        <v/>
      </c>
      <c r="AM706" s="358">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50"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59">
        <f>DATEVALUE(TEXT(I707, "yyyy/mm/dd"))</f>
        <v/>
      </c>
      <c r="AM707" s="358">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50"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59">
        <f>DATEVALUE(TEXT(I708, "yyyy/mm/dd"))</f>
        <v/>
      </c>
      <c r="AM708" s="358">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50"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59">
        <f>DATEVALUE(TEXT(I709, "yyyy/mm/dd"))</f>
        <v/>
      </c>
      <c r="AM709" s="358">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50"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59">
        <f>DATEVALUE(TEXT(I710, "yyyy/mm/dd"))</f>
        <v/>
      </c>
      <c r="AM710" s="358">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50"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59">
        <f>DATEVALUE(TEXT(I711, "yyyy/mm/dd"))</f>
        <v/>
      </c>
      <c r="AM711" s="358">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50"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59">
        <f>DATEVALUE(TEXT(I712, "yyyy/mm/dd"))</f>
        <v/>
      </c>
      <c r="AM712" s="358">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50"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59">
        <f>DATEVALUE(TEXT(I713, "yyyy/mm/dd"))</f>
        <v/>
      </c>
      <c r="AM713" s="358">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50"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59">
        <f>DATEVALUE(TEXT(I714, "yyyy/mm/dd"))</f>
        <v/>
      </c>
      <c r="AM714" s="358">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50"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59">
        <f>DATEVALUE(TEXT(I715, "yyyy/mm/dd"))</f>
        <v/>
      </c>
      <c r="AM715" s="358">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50"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59">
        <f>DATEVALUE(TEXT(I716, "yyyy/mm/dd"))</f>
        <v/>
      </c>
      <c r="AM716" s="358">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50"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59">
        <f>DATEVALUE(TEXT(I717, "yyyy/mm/dd"))</f>
        <v/>
      </c>
      <c r="AM717" s="358">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50"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59">
        <f>DATEVALUE(TEXT(I718, "yyyy/mm/dd"))</f>
        <v/>
      </c>
      <c r="AM718" s="358">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50"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59">
        <f>DATEVALUE(TEXT(I719, "yyyy/mm/dd"))</f>
        <v/>
      </c>
      <c r="AM719" s="358">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50"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59">
        <f>DATEVALUE(TEXT(I720, "yyyy/mm/dd"))</f>
        <v/>
      </c>
      <c r="AM720" s="358">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50"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59">
        <f>DATEVALUE(TEXT(I721, "yyyy/mm/dd"))</f>
        <v/>
      </c>
      <c r="AM721" s="358">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50"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59">
        <f>DATEVALUE(TEXT(I722, "yyyy/mm/dd"))</f>
        <v/>
      </c>
      <c r="AM722" s="358">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50"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59">
        <f>DATEVALUE(TEXT(I723, "yyyy/mm/dd"))</f>
        <v/>
      </c>
      <c r="AM723" s="358">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50"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59">
        <f>DATEVALUE(TEXT(I724, "yyyy/mm/dd"))</f>
        <v/>
      </c>
      <c r="AM724" s="358">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50"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59">
        <f>DATEVALUE(TEXT(I725, "yyyy/mm/dd"))</f>
        <v/>
      </c>
      <c r="AM725" s="358">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50"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59">
        <f>DATEVALUE(TEXT(I726, "yyyy/mm/dd"))</f>
        <v/>
      </c>
      <c r="AM726" s="358">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50"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59">
        <f>DATEVALUE(TEXT(I727, "yyyy/mm/dd"))</f>
        <v/>
      </c>
      <c r="AM727" s="358">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50"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59">
        <f>DATEVALUE(TEXT(I728, "yyyy/mm/dd"))</f>
        <v/>
      </c>
      <c r="AM728" s="358">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50"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59">
        <f>DATEVALUE(TEXT(I729, "yyyy/mm/dd"))</f>
        <v/>
      </c>
      <c r="AM729" s="358">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50"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59">
        <f>DATEVALUE(TEXT(I730, "yyyy/mm/dd"))</f>
        <v/>
      </c>
      <c r="AM730" s="358">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50"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59">
        <f>DATEVALUE(TEXT(I731, "yyyy/mm/dd"))</f>
        <v/>
      </c>
      <c r="AM731" s="358">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50"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59">
        <f>DATEVALUE(TEXT(I732, "yyyy/mm/dd"))</f>
        <v/>
      </c>
      <c r="AM732" s="358">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50"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59">
        <f>DATEVALUE(TEXT(I733, "yyyy/mm/dd"))</f>
        <v/>
      </c>
      <c r="AM733" s="358">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50"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59">
        <f>DATEVALUE(TEXT(I734, "yyyy/mm/dd"))</f>
        <v/>
      </c>
      <c r="AM734" s="358">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50"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59">
        <f>DATEVALUE(TEXT(I735, "yyyy/mm/dd"))</f>
        <v/>
      </c>
      <c r="AM735" s="358">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50"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59">
        <f>DATEVALUE(TEXT(I736, "yyyy/mm/dd"))</f>
        <v/>
      </c>
      <c r="AM736" s="358">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50"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59">
        <f>DATEVALUE(TEXT(I737, "yyyy/mm/dd"))</f>
        <v/>
      </c>
      <c r="AM737" s="358">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50"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59">
        <f>DATEVALUE(TEXT(I738, "yyyy/mm/dd"))</f>
        <v/>
      </c>
      <c r="AM738" s="358">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50"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59">
        <f>DATEVALUE(TEXT(I739, "yyyy/mm/dd"))</f>
        <v/>
      </c>
      <c r="AM739" s="358">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50"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59">
        <f>DATEVALUE(TEXT(I740, "yyyy/mm/dd"))</f>
        <v/>
      </c>
      <c r="AM740" s="358">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50"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59">
        <f>DATEVALUE(TEXT(I741, "yyyy/mm/dd"))</f>
        <v/>
      </c>
      <c r="AM741" s="358">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50"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59">
        <f>DATEVALUE(TEXT(I742, "yyyy/mm/dd"))</f>
        <v/>
      </c>
      <c r="AM742" s="358">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50"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59">
        <f>DATEVALUE(TEXT(I743, "yyyy/mm/dd"))</f>
        <v/>
      </c>
      <c r="AM743" s="358">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50"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59">
        <f>DATEVALUE(TEXT(I744, "yyyy/mm/dd"))</f>
        <v/>
      </c>
      <c r="AM744" s="358">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50"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59">
        <f>DATEVALUE(TEXT(I745, "yyyy/mm/dd"))</f>
        <v/>
      </c>
      <c r="AM745" s="358">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50"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59">
        <f>DATEVALUE(TEXT(I746, "yyyy/mm/dd"))</f>
        <v/>
      </c>
      <c r="AM746" s="358">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50"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59">
        <f>DATEVALUE(TEXT(I747, "yyyy/mm/dd"))</f>
        <v/>
      </c>
      <c r="AM747" s="358">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50"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59">
        <f>DATEVALUE(TEXT(I748, "yyyy/mm/dd"))</f>
        <v/>
      </c>
      <c r="AM748" s="358">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50"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59">
        <f>DATEVALUE(TEXT(I749, "yyyy/mm/dd"))</f>
        <v/>
      </c>
      <c r="AM749" s="358">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50"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59">
        <f>DATEVALUE(TEXT(I750, "yyyy/mm/dd"))</f>
        <v/>
      </c>
      <c r="AM750" s="358">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50"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59">
        <f>DATEVALUE(TEXT(I751, "yyyy/mm/dd"))</f>
        <v/>
      </c>
      <c r="AM751" s="358">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50"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59">
        <f>DATEVALUE(TEXT(I752, "yyyy/mm/dd"))</f>
        <v/>
      </c>
      <c r="AM752" s="358">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50"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59">
        <f>DATEVALUE(TEXT(I753, "yyyy/mm/dd"))</f>
        <v/>
      </c>
      <c r="AM753" s="358">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50"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59">
        <f>DATEVALUE(TEXT(I754, "yyyy/mm/dd"))</f>
        <v/>
      </c>
      <c r="AM754" s="358">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50"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59">
        <f>DATEVALUE(TEXT(I755, "yyyy/mm/dd"))</f>
        <v/>
      </c>
      <c r="AM755" s="358">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50"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59">
        <f>DATEVALUE(TEXT(I756, "yyyy/mm/dd"))</f>
        <v/>
      </c>
      <c r="AM756" s="358">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50"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59">
        <f>DATEVALUE(TEXT(I757, "yyyy/mm/dd"))</f>
        <v/>
      </c>
      <c r="AM757" s="358">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50"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59">
        <f>DATEVALUE(TEXT(I758, "yyyy/mm/dd"))</f>
        <v/>
      </c>
      <c r="AM758" s="358">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50"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59">
        <f>DATEVALUE(TEXT(I759, "yyyy/mm/dd"))</f>
        <v/>
      </c>
      <c r="AM759" s="358">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50"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59">
        <f>DATEVALUE(TEXT(I760, "yyyy/mm/dd"))</f>
        <v/>
      </c>
      <c r="AM760" s="358">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50"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59">
        <f>DATEVALUE(TEXT(I761, "yyyy/mm/dd"))</f>
        <v/>
      </c>
      <c r="AM761" s="358">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50"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59">
        <f>DATEVALUE(TEXT(I762, "yyyy/mm/dd"))</f>
        <v/>
      </c>
      <c r="AM762" s="358">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50"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59">
        <f>DATEVALUE(TEXT(I763, "yyyy/mm/dd"))</f>
        <v/>
      </c>
      <c r="AM763" s="358">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50"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59">
        <f>DATEVALUE(TEXT(I764, "yyyy/mm/dd"))</f>
        <v/>
      </c>
      <c r="AM764" s="358">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50"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59">
        <f>DATEVALUE(TEXT(I765, "yyyy/mm/dd"))</f>
        <v/>
      </c>
      <c r="AM765" s="358">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50"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59">
        <f>DATEVALUE(TEXT(I766, "yyyy/mm/dd"))</f>
        <v/>
      </c>
      <c r="AM766" s="358">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50"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59">
        <f>DATEVALUE(TEXT(I767, "yyyy/mm/dd"))</f>
        <v/>
      </c>
      <c r="AM767" s="358">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50"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59">
        <f>DATEVALUE(TEXT(I768, "yyyy/mm/dd"))</f>
        <v/>
      </c>
      <c r="AM768" s="358">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50"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59">
        <f>DATEVALUE(TEXT(I769, "yyyy/mm/dd"))</f>
        <v/>
      </c>
      <c r="AM769" s="358">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50"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59">
        <f>DATEVALUE(TEXT(I770, "yyyy/mm/dd"))</f>
        <v/>
      </c>
      <c r="AM770" s="358">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50"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59">
        <f>DATEVALUE(TEXT(I771, "yyyy/mm/dd"))</f>
        <v/>
      </c>
      <c r="AM771" s="358">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50"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59">
        <f>DATEVALUE(TEXT(I772, "yyyy/mm/dd"))</f>
        <v/>
      </c>
      <c r="AM772" s="358">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50"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59">
        <f>DATEVALUE(TEXT(I773, "yyyy/mm/dd"))</f>
        <v/>
      </c>
      <c r="AM773" s="358">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50"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59">
        <f>DATEVALUE(TEXT(I774, "yyyy/mm/dd"))</f>
        <v/>
      </c>
      <c r="AM774" s="358">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50"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59">
        <f>DATEVALUE(TEXT(I775, "yyyy/mm/dd"))</f>
        <v/>
      </c>
      <c r="AM775" s="358">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50"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59">
        <f>DATEVALUE(TEXT(I776, "yyyy/mm/dd"))</f>
        <v/>
      </c>
      <c r="AM776" s="358">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50"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59">
        <f>DATEVALUE(TEXT(I777, "yyyy/mm/dd"))</f>
        <v/>
      </c>
      <c r="AM777" s="358">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50"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59">
        <f>DATEVALUE(TEXT(I778, "yyyy/mm/dd"))</f>
        <v/>
      </c>
      <c r="AM778" s="358">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50"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59">
        <f>DATEVALUE(TEXT(I779, "yyyy/mm/dd"))</f>
        <v/>
      </c>
      <c r="AM779" s="358">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50"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59">
        <f>DATEVALUE(TEXT(I780, "yyyy/mm/dd"))</f>
        <v/>
      </c>
      <c r="AM780" s="358">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50"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59">
        <f>DATEVALUE(TEXT(I781, "yyyy/mm/dd"))</f>
        <v/>
      </c>
      <c r="AM781" s="358">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50"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59">
        <f>DATEVALUE(TEXT(I782, "yyyy/mm/dd"))</f>
        <v/>
      </c>
      <c r="AM782" s="358">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50"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59">
        <f>DATEVALUE(TEXT(I783, "yyyy/mm/dd"))</f>
        <v/>
      </c>
      <c r="AM783" s="358">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50"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59">
        <f>DATEVALUE(TEXT(I784, "yyyy/mm/dd"))</f>
        <v/>
      </c>
      <c r="AM784" s="358">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50"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59">
        <f>DATEVALUE(TEXT(I785, "yyyy/mm/dd"))</f>
        <v/>
      </c>
      <c r="AM785" s="358">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50"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59">
        <f>DATEVALUE(TEXT(I786, "yyyy/mm/dd"))</f>
        <v/>
      </c>
      <c r="AM786" s="358">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50"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59">
        <f>DATEVALUE(TEXT(I787, "yyyy/mm/dd"))</f>
        <v/>
      </c>
      <c r="AM787" s="358">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50"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59">
        <f>DATEVALUE(TEXT(I788, "yyyy/mm/dd"))</f>
        <v/>
      </c>
      <c r="AM788" s="358">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50"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59">
        <f>DATEVALUE(TEXT(I789, "yyyy/mm/dd"))</f>
        <v/>
      </c>
      <c r="AM789" s="358">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50"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59">
        <f>DATEVALUE(TEXT(I790, "yyyy/mm/dd"))</f>
        <v/>
      </c>
      <c r="AM790" s="358">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50" t="n">
        <v>45840.49652777778</v>
      </c>
      <c r="Y791" s="12" t="n"/>
      <c r="Z791" s="12" t="n">
        <v>0.5</v>
      </c>
      <c r="AA791" s="12" t="n"/>
      <c r="AB791" s="12" t="inlineStr">
        <is>
          <t>到場處理</t>
        </is>
      </c>
      <c r="AC791" s="360" t="inlineStr">
        <is>
          <t>PMQ3</t>
        </is>
      </c>
      <c r="AD791" s="12" t="inlineStr">
        <is>
          <t>O</t>
        </is>
      </c>
      <c r="AE791" s="12" t="n"/>
      <c r="AF791" s="12" t="n"/>
      <c r="AG791" s="12" t="n"/>
      <c r="AH791" s="12" t="n"/>
      <c r="AI791" s="12" t="n"/>
      <c r="AJ791" s="12" t="n"/>
      <c r="AK791" s="12" t="inlineStr">
        <is>
          <t>O</t>
        </is>
      </c>
      <c r="AL791" s="359">
        <f>DATEVALUE(TEXT(I791, "yyyy/mm/dd"))</f>
        <v/>
      </c>
      <c r="AM791" s="358">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50"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59">
        <f>DATEVALUE(TEXT(I792, "yyyy/mm/dd"))</f>
        <v/>
      </c>
      <c r="AM792" s="358">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50"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59">
        <f>DATEVALUE(TEXT(I793, "yyyy/mm/dd"))</f>
        <v/>
      </c>
      <c r="AM793" s="358">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50"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59">
        <f>DATEVALUE(TEXT(I794, "yyyy/mm/dd"))</f>
        <v/>
      </c>
      <c r="AM794" s="358">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50"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59">
        <f>DATEVALUE(TEXT(I795, "yyyy/mm/dd"))</f>
        <v/>
      </c>
      <c r="AM795" s="358">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50"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59">
        <f>DATEVALUE(TEXT(I796, "yyyy/mm/dd"))</f>
        <v/>
      </c>
      <c r="AM796" s="358">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50"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59">
        <f>DATEVALUE(TEXT(I797, "yyyy/mm/dd"))</f>
        <v/>
      </c>
      <c r="AM797" s="358">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50"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59">
        <f>DATEVALUE(TEXT(I798, "yyyy/mm/dd"))</f>
        <v/>
      </c>
      <c r="AM798" s="358">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50"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59">
        <f>DATEVALUE(TEXT(I799, "yyyy/mm/dd"))</f>
        <v/>
      </c>
      <c r="AM799" s="358">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50"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59">
        <f>DATEVALUE(TEXT(I800, "yyyy/mm/dd"))</f>
        <v/>
      </c>
      <c r="AM800" s="358">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50"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59">
        <f>DATEVALUE(TEXT(I801, "yyyy/mm/dd"))</f>
        <v/>
      </c>
      <c r="AM801" s="358">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50"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59">
        <f>DATEVALUE(TEXT(I802, "yyyy/mm/dd"))</f>
        <v/>
      </c>
      <c r="AM802" s="358">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50"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59">
        <f>DATEVALUE(TEXT(I803, "yyyy/mm/dd"))</f>
        <v/>
      </c>
      <c r="AM803" s="358">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50"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59">
        <f>DATEVALUE(TEXT(I804, "yyyy/mm/dd"))</f>
        <v/>
      </c>
      <c r="AM804" s="358">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50"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59">
        <f>DATEVALUE(TEXT(I805, "yyyy/mm/dd"))</f>
        <v/>
      </c>
      <c r="AM805" s="358">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50"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59">
        <f>DATEVALUE(TEXT(I806, "yyyy/mm/dd"))</f>
        <v/>
      </c>
      <c r="AM806" s="358">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50"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59">
        <f>DATEVALUE(TEXT(I807, "yyyy/mm/dd"))</f>
        <v/>
      </c>
      <c r="AM807" s="358">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50"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59">
        <f>DATEVALUE(TEXT(I808, "yyyy/mm/dd"))</f>
        <v/>
      </c>
      <c r="AM808" s="358">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50"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59">
        <f>DATEVALUE(TEXT(I809, "yyyy/mm/dd"))</f>
        <v/>
      </c>
      <c r="AM809" s="358">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50"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59">
        <f>DATEVALUE(TEXT(I810, "yyyy/mm/dd"))</f>
        <v/>
      </c>
      <c r="AM810" s="358">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50"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59">
        <f>DATEVALUE(TEXT(I811, "yyyy/mm/dd"))</f>
        <v/>
      </c>
      <c r="AM811" s="358">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50"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59">
        <f>DATEVALUE(TEXT(I812, "yyyy/mm/dd"))</f>
        <v/>
      </c>
      <c r="AM812" s="358">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50"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59">
        <f>DATEVALUE(TEXT(I813, "yyyy/mm/dd"))</f>
        <v/>
      </c>
      <c r="AM813" s="358">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50"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59">
        <f>DATEVALUE(TEXT(I814, "yyyy/mm/dd"))</f>
        <v/>
      </c>
      <c r="AM814" s="358">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50"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59">
        <f>DATEVALUE(TEXT(I815, "yyyy/mm/dd"))</f>
        <v/>
      </c>
      <c r="AM815" s="358">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50"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59">
        <f>DATEVALUE(TEXT(I816, "yyyy/mm/dd"))</f>
        <v/>
      </c>
      <c r="AM816" s="358">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50"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59">
        <f>DATEVALUE(TEXT(I817, "yyyy/mm/dd"))</f>
        <v/>
      </c>
      <c r="AM817" s="358">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50"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59">
        <f>DATEVALUE(TEXT(I818, "yyyy/mm/dd"))</f>
        <v/>
      </c>
      <c r="AM818" s="358">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50"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59">
        <f>DATEVALUE(TEXT(I819, "yyyy/mm/dd"))</f>
        <v/>
      </c>
      <c r="AM819" s="358">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50"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59">
        <f>DATEVALUE(TEXT(I820, "yyyy/mm/dd"))</f>
        <v/>
      </c>
      <c r="AM820" s="358">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50"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59">
        <f>DATEVALUE(TEXT(I821, "yyyy/mm/dd"))</f>
        <v/>
      </c>
      <c r="AM821" s="358">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50"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59">
        <f>DATEVALUE(TEXT(I822, "yyyy/mm/dd"))</f>
        <v/>
      </c>
      <c r="AM822" s="358">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50"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59">
        <f>DATEVALUE(TEXT(I823, "yyyy/mm/dd"))</f>
        <v/>
      </c>
      <c r="AM823" s="358">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50"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59">
        <f>DATEVALUE(TEXT(I824, "yyyy/mm/dd"))</f>
        <v/>
      </c>
      <c r="AM824" s="358">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50"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59">
        <f>DATEVALUE(TEXT(I825, "yyyy/mm/dd"))</f>
        <v/>
      </c>
      <c r="AM825" s="358">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50"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59">
        <f>DATEVALUE(TEXT(I826, "yyyy/mm/dd"))</f>
        <v/>
      </c>
      <c r="AM826" s="358">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50"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59">
        <f>DATEVALUE(TEXT(I827, "yyyy/mm/dd"))</f>
        <v/>
      </c>
      <c r="AM827" s="358">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50"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59">
        <f>DATEVALUE(TEXT(I828, "yyyy/mm/dd"))</f>
        <v/>
      </c>
      <c r="AM828" s="358">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50"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59">
        <f>DATEVALUE(TEXT(I829, "yyyy/mm/dd"))</f>
        <v/>
      </c>
      <c r="AM829" s="358">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50"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59">
        <f>DATEVALUE(TEXT(I830, "yyyy/mm/dd"))</f>
        <v/>
      </c>
      <c r="AM830" s="358">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50"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59">
        <f>DATEVALUE(TEXT(I831, "yyyy/mm/dd"))</f>
        <v/>
      </c>
      <c r="AM831" s="358">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50"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59">
        <f>DATEVALUE(TEXT(I832, "yyyy/mm/dd"))</f>
        <v/>
      </c>
      <c r="AM832" s="358">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50"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59">
        <f>DATEVALUE(TEXT(I833, "yyyy/mm/dd"))</f>
        <v/>
      </c>
      <c r="AM833" s="358">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50"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59">
        <f>DATEVALUE(TEXT(I834, "yyyy/mm/dd"))</f>
        <v/>
      </c>
      <c r="AM834" s="358">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50"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59">
        <f>DATEVALUE(TEXT(I835, "yyyy/mm/dd"))</f>
        <v/>
      </c>
      <c r="AM835" s="358">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50"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59">
        <f>DATEVALUE(TEXT(I836, "yyyy/mm/dd"))</f>
        <v/>
      </c>
      <c r="AM836" s="358">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50"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59">
        <f>DATEVALUE(TEXT(I837, "yyyy/mm/dd"))</f>
        <v/>
      </c>
      <c r="AM837" s="358">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50"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59">
        <f>DATEVALUE(TEXT(I838, "yyyy/mm/dd"))</f>
        <v/>
      </c>
      <c r="AM838" s="358">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50"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59">
        <f>DATEVALUE(TEXT(I839, "yyyy/mm/dd"))</f>
        <v/>
      </c>
      <c r="AM839" s="358">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50"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59">
        <f>DATEVALUE(TEXT(I840, "yyyy/mm/dd"))</f>
        <v/>
      </c>
      <c r="AM840" s="358">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50"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59">
        <f>DATEVALUE(TEXT(I841, "yyyy/mm/dd"))</f>
        <v/>
      </c>
      <c r="AM841" s="358">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50"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59">
        <f>DATEVALUE(TEXT(I842, "yyyy/mm/dd"))</f>
        <v/>
      </c>
      <c r="AM842" s="358">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50"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59">
        <f>DATEVALUE(TEXT(I843, "yyyy/mm/dd"))</f>
        <v/>
      </c>
      <c r="AM843" s="358">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50"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59">
        <f>DATEVALUE(TEXT(I844, "yyyy/mm/dd"))</f>
        <v/>
      </c>
      <c r="AM844" s="358">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50"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59">
        <f>DATEVALUE(TEXT(I845, "yyyy/mm/dd"))</f>
        <v/>
      </c>
      <c r="AM845" s="358">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50"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59">
        <f>DATEVALUE(TEXT(I846, "yyyy/mm/dd"))</f>
        <v/>
      </c>
      <c r="AM846" s="358">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50"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59">
        <f>DATEVALUE(TEXT(I847, "yyyy/mm/dd"))</f>
        <v/>
      </c>
      <c r="AM847" s="358">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50"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59">
        <f>DATEVALUE(TEXT(I848, "yyyy/mm/dd"))</f>
        <v/>
      </c>
      <c r="AM848" s="358">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50"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59">
        <f>DATEVALUE(TEXT(I849, "yyyy/mm/dd"))</f>
        <v/>
      </c>
      <c r="AM849" s="358">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50"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59">
        <f>DATEVALUE(TEXT(I850, "yyyy/mm/dd"))</f>
        <v/>
      </c>
      <c r="AM850" s="358">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50"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59">
        <f>DATEVALUE(TEXT(I851, "yyyy/mm/dd"))</f>
        <v/>
      </c>
      <c r="AM851" s="358">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50"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59">
        <f>DATEVALUE(TEXT(I852, "yyyy/mm/dd"))</f>
        <v/>
      </c>
      <c r="AM852" s="358">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50"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59">
        <f>DATEVALUE(TEXT(I853, "yyyy/mm/dd"))</f>
        <v/>
      </c>
      <c r="AM853" s="358">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50"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59">
        <f>DATEVALUE(TEXT(I854, "yyyy/mm/dd"))</f>
        <v/>
      </c>
      <c r="AM854" s="358">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50"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59">
        <f>DATEVALUE(TEXT(I855, "yyyy/mm/dd"))</f>
        <v/>
      </c>
      <c r="AM855" s="358">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50"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59">
        <f>DATEVALUE(TEXT(I856, "yyyy/mm/dd"))</f>
        <v/>
      </c>
      <c r="AM856" s="358">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50"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59">
        <f>DATEVALUE(TEXT(I857, "yyyy/mm/dd"))</f>
        <v/>
      </c>
      <c r="AM857" s="358">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50"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59">
        <f>DATEVALUE(TEXT(I858, "yyyy/mm/dd"))</f>
        <v/>
      </c>
      <c r="AM858" s="358">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50"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59">
        <f>DATEVALUE(TEXT(I859, "yyyy/mm/dd"))</f>
        <v/>
      </c>
      <c r="AM859" s="358">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50"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59">
        <f>DATEVALUE(TEXT(I860, "yyyy/mm/dd"))</f>
        <v/>
      </c>
      <c r="AM860" s="358">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50"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59">
        <f>DATEVALUE(TEXT(I861, "yyyy/mm/dd"))</f>
        <v/>
      </c>
      <c r="AM861" s="358">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50"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59">
        <f>DATEVALUE(TEXT(I862, "yyyy/mm/dd"))</f>
        <v/>
      </c>
      <c r="AM862" s="358">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50"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59">
        <f>DATEVALUE(TEXT(I863, "yyyy/mm/dd"))</f>
        <v/>
      </c>
      <c r="AM863" s="358">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50"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59">
        <f>DATEVALUE(TEXT(I864, "yyyy/mm/dd"))</f>
        <v/>
      </c>
      <c r="AM864" s="358">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50"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59">
        <f>DATEVALUE(TEXT(I865, "yyyy/mm/dd"))</f>
        <v/>
      </c>
      <c r="AM865" s="358">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50"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59">
        <f>DATEVALUE(TEXT(I866, "yyyy/mm/dd"))</f>
        <v/>
      </c>
      <c r="AM866" s="358">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50"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59">
        <f>DATEVALUE(TEXT(I867, "yyyy/mm/dd"))</f>
        <v/>
      </c>
      <c r="AM867" s="358">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50"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59">
        <f>DATEVALUE(TEXT(I868, "yyyy/mm/dd"))</f>
        <v/>
      </c>
      <c r="AM868" s="358">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50"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59">
        <f>DATEVALUE(TEXT(I869, "yyyy/mm/dd"))</f>
        <v/>
      </c>
      <c r="AM869" s="358">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50"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59">
        <f>DATEVALUE(TEXT(I870, "yyyy/mm/dd"))</f>
        <v/>
      </c>
      <c r="AM870" s="358">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50"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59">
        <f>DATEVALUE(TEXT(I871, "yyyy/mm/dd"))</f>
        <v/>
      </c>
      <c r="AM871" s="358">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50"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59">
        <f>DATEVALUE(TEXT(I872, "yyyy/mm/dd"))</f>
        <v/>
      </c>
      <c r="AM872" s="358">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50"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59">
        <f>DATEVALUE(TEXT(I873, "yyyy/mm/dd"))</f>
        <v/>
      </c>
      <c r="AM873" s="358">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50"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59">
        <f>DATEVALUE(TEXT(I874, "yyyy/mm/dd"))</f>
        <v/>
      </c>
      <c r="AM874" s="358">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50"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59">
        <f>DATEVALUE(TEXT(I875, "yyyy/mm/dd"))</f>
        <v/>
      </c>
      <c r="AM875" s="358">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50" t="n">
        <v>45860.54027777778</v>
      </c>
      <c r="Y876" s="12" t="n"/>
      <c r="Z876" s="12" t="n">
        <v>0.3</v>
      </c>
      <c r="AA876" s="12" t="n"/>
      <c r="AB876" s="12" t="inlineStr">
        <is>
          <t>到場處理</t>
        </is>
      </c>
      <c r="AC876" s="360" t="inlineStr">
        <is>
          <t>PMQ3</t>
        </is>
      </c>
      <c r="AD876" s="12" t="inlineStr">
        <is>
          <t>O</t>
        </is>
      </c>
      <c r="AE876" s="12" t="n"/>
      <c r="AF876" s="12" t="n"/>
      <c r="AG876" s="12" t="n"/>
      <c r="AH876" s="12" t="n"/>
      <c r="AI876" s="12" t="n"/>
      <c r="AJ876" s="12" t="n"/>
      <c r="AK876" s="12" t="inlineStr">
        <is>
          <t>O</t>
        </is>
      </c>
      <c r="AL876" s="359">
        <f>DATEVALUE(TEXT(I876, "yyyy/mm/dd"))</f>
        <v/>
      </c>
      <c r="AM876" s="358">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50"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2">
        <f>DATEVALUE(TEXT(I877, "yyyy/mm/dd"))</f>
        <v/>
      </c>
      <c r="AM877" s="358">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50"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2">
        <f>DATEVALUE(TEXT(I878, "yyyy/mm/dd"))</f>
        <v/>
      </c>
      <c r="AM878" s="358">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50"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2">
        <f>DATEVALUE(TEXT(I879, "yyyy/mm/dd"))</f>
        <v/>
      </c>
      <c r="AM879" s="358">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50"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2">
        <f>DATEVALUE(TEXT(I880, "yyyy/mm/dd"))</f>
        <v/>
      </c>
      <c r="AM880" s="358">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50"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2">
        <f>DATEVALUE(TEXT(I881, "yyyy/mm/dd"))</f>
        <v/>
      </c>
      <c r="AM881" s="358">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50"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2">
        <f>DATEVALUE(TEXT(I882, "yyyy/mm/dd"))</f>
        <v/>
      </c>
      <c r="AM882" s="358">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50"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2">
        <f>DATEVALUE(TEXT(I883, "yyyy/mm/dd"))</f>
        <v/>
      </c>
      <c r="AM883" s="358">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50"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2">
        <f>DATEVALUE(TEXT(I884, "yyyy/mm/dd"))</f>
        <v/>
      </c>
      <c r="AM884" s="358">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50"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2">
        <f>DATEVALUE(TEXT(I885, "yyyy/mm/dd"))</f>
        <v/>
      </c>
      <c r="AM885" s="358">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50"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2">
        <f>DATEVALUE(TEXT(I886, "yyyy/mm/dd"))</f>
        <v/>
      </c>
      <c r="AM886" s="358">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50"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2">
        <f>DATEVALUE(TEXT(I887, "yyyy/mm/dd"))</f>
        <v/>
      </c>
      <c r="AM887" s="358">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50"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2">
        <f>DATEVALUE(TEXT(I888, "yyyy/mm/dd"))</f>
        <v/>
      </c>
      <c r="AM888" s="358">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50"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2">
        <f>DATEVALUE(TEXT(I889, "yyyy/mm/dd"))</f>
        <v/>
      </c>
      <c r="AM889" s="358">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50"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2">
        <f>DATEVALUE(TEXT(I890, "yyyy/mm/dd"))</f>
        <v/>
      </c>
      <c r="AM890" s="358">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50"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2">
        <f>DATEVALUE(TEXT(I891, "yyyy/mm/dd"))</f>
        <v/>
      </c>
      <c r="AM891" s="358">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50"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2">
        <f>DATEVALUE(TEXT(I892, "yyyy/mm/dd"))</f>
        <v/>
      </c>
      <c r="AM892" s="358">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50"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2">
        <f>DATEVALUE(TEXT(I893, "yyyy/mm/dd"))</f>
        <v/>
      </c>
      <c r="AM893" s="358">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50"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2">
        <f>DATEVALUE(TEXT(I894, "yyyy/mm/dd"))</f>
        <v/>
      </c>
      <c r="AM894" s="358">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50"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2">
        <f>DATEVALUE(TEXT(I895, "yyyy/mm/dd"))</f>
        <v/>
      </c>
      <c r="AM895" s="358">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50"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2">
        <f>DATEVALUE(TEXT(I896, "yyyy/mm/dd"))</f>
        <v/>
      </c>
      <c r="AM896" s="358">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50"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2">
        <f>DATEVALUE(TEXT(I897, "yyyy/mm/dd"))</f>
        <v/>
      </c>
      <c r="AM897" s="358">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50"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2">
        <f>DATEVALUE(TEXT(I898, "yyyy/mm/dd"))</f>
        <v/>
      </c>
      <c r="AM898" s="358">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50"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2">
        <f>DATEVALUE(TEXT(I899, "yyyy/mm/dd"))</f>
        <v/>
      </c>
      <c r="AM899" s="358">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50"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2">
        <f>DATEVALUE(TEXT(I900, "yyyy/mm/dd"))</f>
        <v/>
      </c>
      <c r="AM900" s="358">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50"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2">
        <f>DATEVALUE(TEXT(I901, "yyyy/mm/dd"))</f>
        <v/>
      </c>
      <c r="AM901" s="358">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50"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2">
        <f>DATEVALUE(TEXT(I902, "yyyy/mm/dd"))</f>
        <v/>
      </c>
      <c r="AM902" s="358">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50"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2">
        <f>DATEVALUE(TEXT(I903, "yyyy/mm/dd"))</f>
        <v/>
      </c>
      <c r="AM903" s="358">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50"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2">
        <f>DATEVALUE(TEXT(I904, "yyyy/mm/dd"))</f>
        <v/>
      </c>
      <c r="AM904" s="358">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50" t="n">
        <v>45867.61111111111</v>
      </c>
      <c r="Y905" s="12" t="inlineStr">
        <is>
          <t>2025-07-29 16:10:00</t>
        </is>
      </c>
      <c r="Z905" s="12" t="n">
        <v>0.5</v>
      </c>
      <c r="AA905" s="12" t="n"/>
      <c r="AB905" s="12" t="inlineStr">
        <is>
          <t>到場處理</t>
        </is>
      </c>
      <c r="AC905" s="368" t="inlineStr">
        <is>
          <t>重新接線後測試正常</t>
        </is>
      </c>
      <c r="AD905" s="12" t="n"/>
      <c r="AE905" s="12" t="n"/>
      <c r="AF905" s="12" t="n"/>
      <c r="AG905" s="12" t="n"/>
      <c r="AH905" s="12" t="n"/>
      <c r="AI905" s="12" t="n"/>
      <c r="AJ905" s="12" t="n"/>
      <c r="AK905" s="12" t="inlineStr">
        <is>
          <t>O</t>
        </is>
      </c>
      <c r="AL905" s="362">
        <f>DATEVALUE(TEXT(I905, "yyyy/mm/dd"))</f>
        <v/>
      </c>
      <c r="AM905" s="358">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50"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2">
        <f>DATEVALUE(TEXT(I906, "yyyy/mm/dd"))</f>
        <v/>
      </c>
      <c r="AM906" s="358">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50"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2">
        <f>DATEVALUE(TEXT(I907, "yyyy/mm/dd"))</f>
        <v/>
      </c>
      <c r="AM907" s="358">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50"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2">
        <f>DATEVALUE(TEXT(I908, "yyyy/mm/dd"))</f>
        <v/>
      </c>
      <c r="AM908" s="358">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50"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2">
        <f>DATEVALUE(TEXT(I909, "yyyy/mm/dd"))</f>
        <v/>
      </c>
      <c r="AM909" s="358">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50"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2">
        <f>DATEVALUE(TEXT(I910, "yyyy/mm/dd"))</f>
        <v/>
      </c>
      <c r="AM910" s="358">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50"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2">
        <f>DATEVALUE(TEXT(I911, "yyyy/mm/dd"))</f>
        <v/>
      </c>
      <c r="AM911" s="358">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50"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2">
        <f>DATEVALUE(TEXT(I912, "yyyy/mm/dd"))</f>
        <v/>
      </c>
      <c r="AM912" s="358">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50"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2">
        <f>DATEVALUE(TEXT(I913, "yyyy/mm/dd"))</f>
        <v/>
      </c>
      <c r="AM913" s="358">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50"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2">
        <f>DATEVALUE(TEXT(I914, "yyyy/mm/dd"))</f>
        <v/>
      </c>
      <c r="AM914" s="358">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50"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2">
        <f>DATEVALUE(TEXT(I915, "yyyy/mm/dd"))</f>
        <v/>
      </c>
      <c r="AM915" s="358">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50"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2">
        <f>DATEVALUE(TEXT(I916, "yyyy/mm/dd"))</f>
        <v/>
      </c>
      <c r="AM916" s="358">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50"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2">
        <f>DATEVALUE(TEXT(I917, "yyyy/mm/dd"))</f>
        <v/>
      </c>
      <c r="AM917" s="358">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50"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2">
        <f>DATEVALUE(TEXT(I918, "yyyy/mm/dd"))</f>
        <v/>
      </c>
      <c r="AM918" s="358">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50"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2">
        <f>DATEVALUE(TEXT(I919, "yyyy/mm/dd"))</f>
        <v/>
      </c>
      <c r="AM919" s="358">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50"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2">
        <f>DATEVALUE(TEXT(I920, "yyyy/mm/dd"))</f>
        <v/>
      </c>
      <c r="AM920" s="358">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50"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2">
        <f>DATEVALUE(TEXT(I921, "yyyy/mm/dd"))</f>
        <v/>
      </c>
      <c r="AM921" s="358">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50"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2">
        <f>DATEVALUE(TEXT(I922, "yyyy/mm/dd"))</f>
        <v/>
      </c>
      <c r="AM922" s="358">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50"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2">
        <f>DATEVALUE(TEXT(I923, "yyyy/mm/dd"))</f>
        <v/>
      </c>
      <c r="AM923" s="358">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50"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2">
        <f>DATEVALUE(TEXT(I924, "yyyy/mm/dd"))</f>
        <v/>
      </c>
      <c r="AM924" s="358">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50"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2">
        <f>DATEVALUE(TEXT(I925, "yyyy/mm/dd"))</f>
        <v/>
      </c>
      <c r="AM925" s="358">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50"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2">
        <f>DATEVALUE(TEXT(I926, "yyyy/mm/dd"))</f>
        <v/>
      </c>
      <c r="AM926" s="358">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50"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2">
        <f>DATEVALUE(TEXT(I927, "yyyy/mm/dd"))</f>
        <v/>
      </c>
      <c r="AM927" s="358">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50"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2">
        <f>DATEVALUE(TEXT(I928, "yyyy/mm/dd"))</f>
        <v/>
      </c>
      <c r="AM928" s="358">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50"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2">
        <f>DATEVALUE(TEXT(I929, "yyyy/mm/dd"))</f>
        <v/>
      </c>
      <c r="AM929" s="358">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50"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2">
        <f>DATEVALUE(TEXT(I930, "yyyy/mm/dd"))</f>
        <v/>
      </c>
      <c r="AM930" s="358">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50"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2">
        <f>DATEVALUE(TEXT(I931, "yyyy/mm/dd"))</f>
        <v/>
      </c>
      <c r="AM931" s="358">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50"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2">
        <f>DATEVALUE(TEXT(I932, "yyyy/mm/dd"))</f>
        <v/>
      </c>
      <c r="AM932" s="358">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50"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2">
        <f>DATEVALUE(TEXT(I933, "yyyy/mm/dd"))</f>
        <v/>
      </c>
      <c r="AM933" s="358">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50"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2">
        <f>DATEVALUE(TEXT(I934, "yyyy/mm/dd"))</f>
        <v/>
      </c>
      <c r="AM934" s="358">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50"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2">
        <f>DATEVALUE(TEXT(I935, "yyyy/mm/dd"))</f>
        <v/>
      </c>
      <c r="AM935" s="358">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50"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2">
        <f>DATEVALUE(TEXT(I936, "yyyy/mm/dd"))</f>
        <v/>
      </c>
      <c r="AM936" s="358">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50"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2">
        <f>DATEVALUE(TEXT(I937, "yyyy/mm/dd"))</f>
        <v/>
      </c>
      <c r="AM937" s="358">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50"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2">
        <f>DATEVALUE(TEXT(I938, "yyyy/mm/dd"))</f>
        <v/>
      </c>
      <c r="AM938" s="358">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50"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2">
        <f>DATEVALUE(TEXT(I939, "yyyy/mm/dd"))</f>
        <v/>
      </c>
      <c r="AM939" s="358">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50"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2">
        <f>DATEVALUE(TEXT(I940, "yyyy/mm/dd"))</f>
        <v/>
      </c>
      <c r="AM940" s="358">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50"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2">
        <f>DATEVALUE(TEXT(I941, "yyyy/mm/dd"))</f>
        <v/>
      </c>
      <c r="AM941" s="358">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50"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2">
        <f>DATEVALUE(TEXT(I942, "yyyy/mm/dd"))</f>
        <v/>
      </c>
      <c r="AM942" s="358">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50"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2">
        <f>DATEVALUE(TEXT(I943, "yyyy/mm/dd"))</f>
        <v/>
      </c>
      <c r="AM943" s="358">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50"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2">
        <f>DATEVALUE(TEXT(I944, "yyyy/mm/dd"))</f>
        <v/>
      </c>
      <c r="AM944" s="358">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50"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2">
        <f>DATEVALUE(TEXT(I945, "yyyy/mm/dd"))</f>
        <v/>
      </c>
      <c r="AM945" s="358">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50"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2">
        <f>DATEVALUE(TEXT(I946, "yyyy/mm/dd"))</f>
        <v/>
      </c>
      <c r="AM946" s="358">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50"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2">
        <f>DATEVALUE(TEXT(I947, "yyyy/mm/dd"))</f>
        <v/>
      </c>
      <c r="AM947" s="358">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50"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2">
        <f>DATEVALUE(TEXT(I948, "yyyy/mm/dd"))</f>
        <v/>
      </c>
      <c r="AM948" s="358">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50"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2">
        <f>DATEVALUE(TEXT(I949, "yyyy/mm/dd"))</f>
        <v/>
      </c>
      <c r="AM949" s="358">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50"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2">
        <f>DATEVALUE(TEXT(I950, "yyyy/mm/dd"))</f>
        <v/>
      </c>
      <c r="AM950" s="358">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50"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2">
        <f>DATEVALUE(TEXT(I951, "yyyy/mm/dd"))</f>
        <v/>
      </c>
      <c r="AM951" s="358">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50"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2">
        <f>DATEVALUE(TEXT(I952, "yyyy/mm/dd"))</f>
        <v/>
      </c>
      <c r="AM952" s="358">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50"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2">
        <f>DATEVALUE(TEXT(I953, "yyyy/mm/dd"))</f>
        <v/>
      </c>
      <c r="AM953" s="358">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50"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2">
        <f>DATEVALUE(TEXT(I954, "yyyy/mm/dd"))</f>
        <v/>
      </c>
      <c r="AM954" s="358">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50"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2">
        <f>DATEVALUE(TEXT(I955, "yyyy/mm/dd"))</f>
        <v/>
      </c>
      <c r="AM955" s="358">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50"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2">
        <f>DATEVALUE(TEXT(I956, "yyyy/mm/dd"))</f>
        <v/>
      </c>
      <c r="AM956" s="358">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50"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2">
        <f>DATEVALUE(TEXT(I957, "yyyy/mm/dd"))</f>
        <v/>
      </c>
      <c r="AM957" s="358">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50"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2">
        <f>DATEVALUE(TEXT(I958, "yyyy/mm/dd"))</f>
        <v/>
      </c>
      <c r="AM958" s="358">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50"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2">
        <f>DATEVALUE(TEXT(I959, "yyyy/mm/dd"))</f>
        <v/>
      </c>
      <c r="AM959" s="358">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50"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2">
        <f>DATEVALUE(TEXT(I960, "yyyy/mm/dd"))</f>
        <v/>
      </c>
      <c r="AM960" s="358">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50"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2">
        <f>DATEVALUE(TEXT(I961, "yyyy/mm/dd"))</f>
        <v/>
      </c>
      <c r="AM961" s="358">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50"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2">
        <f>DATEVALUE(TEXT(I962, "yyyy/mm/dd"))</f>
        <v/>
      </c>
      <c r="AM962" s="358">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50"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2">
        <f>DATEVALUE(TEXT(I963, "yyyy/mm/dd"))</f>
        <v/>
      </c>
      <c r="AM963" s="358">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50"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2">
        <f>DATEVALUE(TEXT(I964, "yyyy/mm/dd"))</f>
        <v/>
      </c>
      <c r="AM964" s="358">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50"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2">
        <f>DATEVALUE(TEXT(I965, "yyyy/mm/dd"))</f>
        <v/>
      </c>
      <c r="AM965" s="358">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50"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2">
        <f>DATEVALUE(TEXT(I966, "yyyy/mm/dd"))</f>
        <v/>
      </c>
      <c r="AM966" s="358">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50"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2">
        <f>DATEVALUE(TEXT(I967, "yyyy/mm/dd"))</f>
        <v/>
      </c>
      <c r="AM967" s="358">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50"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2">
        <f>DATEVALUE(TEXT(I968, "yyyy/mm/dd"))</f>
        <v/>
      </c>
      <c r="AM968" s="358">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50"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2">
        <f>DATEVALUE(TEXT(I969, "yyyy/mm/dd"))</f>
        <v/>
      </c>
      <c r="AM969" s="358">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50"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2">
        <f>DATEVALUE(TEXT(I970, "yyyy/mm/dd"))</f>
        <v/>
      </c>
      <c r="AM970" s="358">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50"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2">
        <f>DATEVALUE(TEXT(I971, "yyyy/mm/dd"))</f>
        <v/>
      </c>
      <c r="AM971" s="358">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50"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2">
        <f>DATEVALUE(TEXT(I972, "yyyy/mm/dd"))</f>
        <v/>
      </c>
      <c r="AM972" s="358">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50"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2">
        <f>DATEVALUE(TEXT(I973, "yyyy/mm/dd"))</f>
        <v/>
      </c>
      <c r="AM973" s="358">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50"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2">
        <f>DATEVALUE(TEXT(I974, "yyyy/mm/dd"))</f>
        <v/>
      </c>
      <c r="AM974" s="358">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50"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2">
        <f>DATEVALUE(TEXT(I975, "yyyy/mm/dd"))</f>
        <v/>
      </c>
      <c r="AM975" s="358">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50"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2">
        <f>DATEVALUE(TEXT(I976, "yyyy/mm/dd"))</f>
        <v/>
      </c>
      <c r="AM976" s="358">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50"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2">
        <f>DATEVALUE(TEXT(I977, "yyyy/mm/dd"))</f>
        <v/>
      </c>
      <c r="AM977" s="358">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50"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2">
        <f>DATEVALUE(TEXT(I978, "yyyy/mm/dd"))</f>
        <v/>
      </c>
      <c r="AM978" s="358">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50"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2">
        <f>DATEVALUE(TEXT(I979, "yyyy/mm/dd"))</f>
        <v/>
      </c>
      <c r="AM979" s="358">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50"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2">
        <f>DATEVALUE(TEXT(I980, "yyyy/mm/dd"))</f>
        <v/>
      </c>
      <c r="AM980" s="358">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50"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2">
        <f>DATEVALUE(TEXT(I981, "yyyy/mm/dd"))</f>
        <v/>
      </c>
      <c r="AM981" s="358">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50"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2">
        <f>DATEVALUE(TEXT(I982, "yyyy/mm/dd"))</f>
        <v/>
      </c>
      <c r="AM982" s="358">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50"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2">
        <f>DATEVALUE(TEXT(I983, "yyyy/mm/dd"))</f>
        <v/>
      </c>
      <c r="AM983" s="358">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50"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2">
        <f>DATEVALUE(TEXT(I984, "yyyy/mm/dd"))</f>
        <v/>
      </c>
      <c r="AM984" s="358">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50"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2">
        <f>DATEVALUE(TEXT(I985, "yyyy/mm/dd"))</f>
        <v/>
      </c>
      <c r="AM985" s="358">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50"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2">
        <f>DATEVALUE(TEXT(I986, "yyyy/mm/dd"))</f>
        <v/>
      </c>
      <c r="AM986" s="358">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50"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2">
        <f>DATEVALUE(TEXT(I987, "yyyy/mm/dd"))</f>
        <v/>
      </c>
      <c r="AM987" s="358">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50"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2">
        <f>DATEVALUE(TEXT(I988, "yyyy/mm/dd"))</f>
        <v/>
      </c>
      <c r="AM988" s="358">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50"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2">
        <f>DATEVALUE(TEXT(I989, "yyyy/mm/dd"))</f>
        <v/>
      </c>
      <c r="AM989" s="358">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50"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2">
        <f>DATEVALUE(TEXT(I990, "yyyy/mm/dd"))</f>
        <v/>
      </c>
      <c r="AM990" s="358">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50"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2">
        <f>DATEVALUE(TEXT(I991, "yyyy/mm/dd"))</f>
        <v/>
      </c>
      <c r="AM991" s="358">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50"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2">
        <f>DATEVALUE(TEXT(I992, "yyyy/mm/dd"))</f>
        <v/>
      </c>
      <c r="AM992" s="358">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50"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2">
        <f>DATEVALUE(TEXT(I993, "yyyy/mm/dd"))</f>
        <v/>
      </c>
      <c r="AM993" s="358">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50"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2">
        <f>DATEVALUE(TEXT(I994, "yyyy/mm/dd"))</f>
        <v/>
      </c>
      <c r="AM994" s="358">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50"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2">
        <f>DATEVALUE(TEXT(I995, "yyyy/mm/dd"))</f>
        <v/>
      </c>
      <c r="AM995" s="358">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50"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2">
        <f>DATEVALUE(TEXT(I996, "yyyy/mm/dd"))</f>
        <v/>
      </c>
      <c r="AM996" s="358">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50"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2">
        <f>DATEVALUE(TEXT(I997, "yyyy/mm/dd"))</f>
        <v/>
      </c>
      <c r="AM997" s="358">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50"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2">
        <f>DATEVALUE(TEXT(I998, "yyyy/mm/dd"))</f>
        <v/>
      </c>
      <c r="AM998" s="358">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50"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2">
        <f>DATEVALUE(TEXT(I999, "yyyy/mm/dd"))</f>
        <v/>
      </c>
      <c r="AM999" s="358">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50"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2">
        <f>DATEVALUE(TEXT(I1000, "yyyy/mm/dd"))</f>
        <v/>
      </c>
      <c r="AM1000" s="358">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50"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2">
        <f>DATEVALUE(TEXT(I1001, "yyyy/mm/dd"))</f>
        <v/>
      </c>
      <c r="AM1001" s="358">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50"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2">
        <f>DATEVALUE(TEXT(I1002, "yyyy/mm/dd"))</f>
        <v/>
      </c>
      <c r="AM1002" s="358">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50"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2">
        <f>DATEVALUE(TEXT(I1003, "yyyy/mm/dd"))</f>
        <v/>
      </c>
      <c r="AM1003" s="358">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50"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2">
        <f>DATEVALUE(TEXT(I1004, "yyyy/mm/dd"))</f>
        <v/>
      </c>
      <c r="AM1004" s="358">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50"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2">
        <f>DATEVALUE(TEXT(I1005, "yyyy/mm/dd"))</f>
        <v/>
      </c>
      <c r="AM1005" s="358">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50"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2">
        <f>DATEVALUE(TEXT(I1006, "yyyy/mm/dd"))</f>
        <v/>
      </c>
      <c r="AM1006" s="358">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50"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2">
        <f>DATEVALUE(TEXT(I1007, "yyyy/mm/dd"))</f>
        <v/>
      </c>
      <c r="AM1007" s="358">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50"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2">
        <f>DATEVALUE(TEXT(I1008, "yyyy/mm/dd"))</f>
        <v/>
      </c>
      <c r="AM1008" s="358">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50"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2">
        <f>DATEVALUE(TEXT(I1009, "yyyy/mm/dd"))</f>
        <v/>
      </c>
      <c r="AM1009" s="358">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50"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2">
        <f>DATEVALUE(TEXT(I1010, "yyyy/mm/dd"))</f>
        <v/>
      </c>
      <c r="AM1010" s="358">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50"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2">
        <f>DATEVALUE(TEXT(I1011, "yyyy/mm/dd"))</f>
        <v/>
      </c>
      <c r="AM1011" s="358">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50"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2">
        <f>DATEVALUE(TEXT(I1012, "yyyy/mm/dd"))</f>
        <v/>
      </c>
      <c r="AM1012" s="358">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50"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2">
        <f>DATEVALUE(TEXT(I1013, "yyyy/mm/dd"))</f>
        <v/>
      </c>
      <c r="AM1013" s="358">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50"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2">
        <f>DATEVALUE(TEXT(I1014, "yyyy/mm/dd"))</f>
        <v/>
      </c>
      <c r="AM1014" s="358">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50"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2">
        <f>DATEVALUE(TEXT(I1015, "yyyy/mm/dd"))</f>
        <v/>
      </c>
      <c r="AM1015" s="358">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50"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2">
        <f>DATEVALUE(TEXT(I1016, "yyyy/mm/dd"))</f>
        <v/>
      </c>
      <c r="AM1016" s="358">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50"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2">
        <f>DATEVALUE(TEXT(I1017, "yyyy/mm/dd"))</f>
        <v/>
      </c>
      <c r="AM1017" s="358">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50"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2">
        <f>DATEVALUE(TEXT(I1018, "yyyy/mm/dd"))</f>
        <v/>
      </c>
      <c r="AM1018" s="358">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50"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2">
        <f>DATEVALUE(TEXT(I1019, "yyyy/mm/dd"))</f>
        <v/>
      </c>
      <c r="AM1019" s="358">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50"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2">
        <f>DATEVALUE(TEXT(I1020, "yyyy/mm/dd"))</f>
        <v/>
      </c>
      <c r="AM1020" s="358">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50"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2">
        <f>DATEVALUE(TEXT(I1021, "yyyy/mm/dd"))</f>
        <v/>
      </c>
      <c r="AM1021" s="358">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50"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2">
        <f>DATEVALUE(TEXT(I1022, "yyyy/mm/dd"))</f>
        <v/>
      </c>
      <c r="AM1022" s="358">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50"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2">
        <f>DATEVALUE(TEXT(I1023, "yyyy/mm/dd"))</f>
        <v/>
      </c>
      <c r="AM1023" s="358">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50"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2">
        <f>DATEVALUE(TEXT(I1024, "yyyy/mm/dd"))</f>
        <v/>
      </c>
      <c r="AM1024" s="358">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50" t="n">
        <v>45889.625</v>
      </c>
      <c r="Y1025" s="12" t="n"/>
      <c r="Z1025" s="12" t="n">
        <v>1</v>
      </c>
      <c r="AA1025" s="12" t="n"/>
      <c r="AB1025" s="12" t="inlineStr">
        <is>
          <t>到場處理</t>
        </is>
      </c>
      <c r="AC1025" s="360" t="inlineStr">
        <is>
          <t>PMQ3+EDC+PEP裝機完成</t>
        </is>
      </c>
      <c r="AD1025" s="12" t="inlineStr">
        <is>
          <t>O</t>
        </is>
      </c>
      <c r="AE1025" s="12" t="n"/>
      <c r="AF1025" s="12" t="n"/>
      <c r="AG1025" s="12" t="n"/>
      <c r="AH1025" s="12" t="n"/>
      <c r="AI1025" s="12" t="n"/>
      <c r="AJ1025" s="12" t="inlineStr">
        <is>
          <t>O</t>
        </is>
      </c>
      <c r="AK1025" s="12" t="inlineStr">
        <is>
          <t>O</t>
        </is>
      </c>
      <c r="AL1025" s="362">
        <f>DATEVALUE(TEXT(I1025, "yyyy/mm/dd"))</f>
        <v/>
      </c>
      <c r="AM1025" s="358">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50"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2">
        <f>DATEVALUE(TEXT(I1026, "yyyy/mm/dd"))</f>
        <v/>
      </c>
      <c r="AM1026" s="358">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50"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2">
        <f>DATEVALUE(TEXT(I1027, "yyyy/mm/dd"))</f>
        <v/>
      </c>
      <c r="AM1027" s="358">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50"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2">
        <f>DATEVALUE(TEXT(I1028, "yyyy/mm/dd"))</f>
        <v/>
      </c>
      <c r="AM1028" s="358">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50"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2">
        <f>DATEVALUE(TEXT(I1029, "yyyy/mm/dd"))</f>
        <v/>
      </c>
      <c r="AM1029" s="358">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50"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2">
        <f>DATEVALUE(TEXT(I1030, "yyyy/mm/dd"))</f>
        <v/>
      </c>
      <c r="AM1030" s="358">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50"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2">
        <f>DATEVALUE(TEXT(I1031, "yyyy/mm/dd"))</f>
        <v/>
      </c>
      <c r="AM1031" s="358">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50"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2">
        <f>DATEVALUE(TEXT(I1032, "yyyy/mm/dd"))</f>
        <v/>
      </c>
      <c r="AM1032" s="358">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50"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2">
        <f>DATEVALUE(TEXT(I1033, "yyyy/mm/dd"))</f>
        <v/>
      </c>
      <c r="AM1033" s="358">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50"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2">
        <f>DATEVALUE(TEXT(I1034, "yyyy/mm/dd"))</f>
        <v/>
      </c>
      <c r="AM1034" s="358">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50"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2">
        <f>DATEVALUE(TEXT(I1035, "yyyy/mm/dd"))</f>
        <v/>
      </c>
      <c r="AM1035" s="358">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50"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2">
        <f>DATEVALUE(TEXT(I1036, "yyyy/mm/dd"))</f>
        <v/>
      </c>
      <c r="AM1036" s="358">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50"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2">
        <f>DATEVALUE(TEXT(I1037, "yyyy/mm/dd"))</f>
        <v/>
      </c>
      <c r="AM1037" s="358">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50"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2">
        <f>DATEVALUE(TEXT(I1038, "yyyy/mm/dd"))</f>
        <v/>
      </c>
      <c r="AM1038" s="358">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50"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2">
        <f>DATEVALUE(TEXT(I1039, "yyyy/mm/dd"))</f>
        <v/>
      </c>
      <c r="AM1039" s="358">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50"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2">
        <f>DATEVALUE(TEXT(I1040, "yyyy/mm/dd"))</f>
        <v/>
      </c>
      <c r="AM1040" s="358">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50"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2">
        <f>DATEVALUE(TEXT(I1041, "yyyy/mm/dd"))</f>
        <v/>
      </c>
      <c r="AM1041" s="358">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50"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2">
        <f>DATEVALUE(TEXT(I1042, "yyyy/mm/dd"))</f>
        <v/>
      </c>
      <c r="AM1042" s="358">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50"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2">
        <f>DATEVALUE(TEXT(I1043, "yyyy/mm/dd"))</f>
        <v/>
      </c>
      <c r="AM1043" s="358">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50"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2">
        <f>DATEVALUE(TEXT(I1044, "yyyy/mm/dd"))</f>
        <v/>
      </c>
      <c r="AM1044" s="358">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50"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2">
        <f>DATEVALUE(TEXT(I1045, "yyyy/mm/dd"))</f>
        <v/>
      </c>
      <c r="AM1045" s="358">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50"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2">
        <f>DATEVALUE(TEXT(I1046, "yyyy/mm/dd"))</f>
        <v/>
      </c>
      <c r="AM1046" s="358">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50"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2">
        <f>DATEVALUE(TEXT(I1047, "yyyy/mm/dd"))</f>
        <v/>
      </c>
      <c r="AM1047" s="358">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50"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2">
        <f>DATEVALUE(TEXT(I1048, "yyyy/mm/dd"))</f>
        <v/>
      </c>
      <c r="AM1048" s="358">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50"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2">
        <f>DATEVALUE(TEXT(I1049, "yyyy/mm/dd"))</f>
        <v/>
      </c>
      <c r="AM1049" s="358">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50"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2">
        <f>DATEVALUE(TEXT(I1050, "yyyy/mm/dd"))</f>
        <v/>
      </c>
      <c r="AM1050" s="358">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50"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2">
        <f>DATEVALUE(TEXT(I1051, "yyyy/mm/dd"))</f>
        <v/>
      </c>
      <c r="AM1051" s="358">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50"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2">
        <f>DATEVALUE(TEXT(I1052, "yyyy/mm/dd"))</f>
        <v/>
      </c>
      <c r="AM1052" s="358">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50"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2">
        <f>DATEVALUE(TEXT(I1053, "yyyy/mm/dd"))</f>
        <v/>
      </c>
      <c r="AM1053" s="358">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50"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2">
        <f>DATEVALUE(TEXT(I1054, "yyyy/mm/dd"))</f>
        <v/>
      </c>
      <c r="AM1054" s="358">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50"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2">
        <f>DATEVALUE(TEXT(I1055, "yyyy/mm/dd"))</f>
        <v/>
      </c>
      <c r="AM1055" s="358">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50"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2">
        <f>DATEVALUE(TEXT(I1056, "yyyy/mm/dd"))</f>
        <v/>
      </c>
      <c r="AM1056" s="358">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50"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2">
        <f>DATEVALUE(TEXT(I1057, "yyyy/mm/dd"))</f>
        <v/>
      </c>
      <c r="AM1057" s="358">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50"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2">
        <f>DATEVALUE(TEXT(I1058, "yyyy/mm/dd"))</f>
        <v/>
      </c>
      <c r="AM1058" s="358">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50"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2">
        <f>DATEVALUE(TEXT(I1059, "yyyy/mm/dd"))</f>
        <v/>
      </c>
      <c r="AM1059" s="358">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50"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2">
        <f>DATEVALUE(TEXT(I1060, "yyyy/mm/dd"))</f>
        <v/>
      </c>
      <c r="AM1060" s="358">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50"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2">
        <f>DATEVALUE(TEXT(I1061, "yyyy/mm/dd"))</f>
        <v/>
      </c>
      <c r="AM1061" s="358">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50"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2">
        <f>DATEVALUE(TEXT(I1062, "yyyy/mm/dd"))</f>
        <v/>
      </c>
      <c r="AM1062" s="358">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50"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2">
        <f>DATEVALUE(TEXT(I1063, "yyyy/mm/dd"))</f>
        <v/>
      </c>
      <c r="AM1063" s="358">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50"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2">
        <f>DATEVALUE(TEXT(I1064, "yyyy/mm/dd"))</f>
        <v/>
      </c>
      <c r="AM1064" s="358">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50"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2">
        <f>DATEVALUE(TEXT(I1065, "yyyy/mm/dd"))</f>
        <v/>
      </c>
      <c r="AM1065" s="358">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50"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2">
        <f>DATEVALUE(TEXT(I1066, "yyyy/mm/dd"))</f>
        <v/>
      </c>
      <c r="AM1066" s="358">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50"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2">
        <f>DATEVALUE(TEXT(I1067, "yyyy/mm/dd"))</f>
        <v/>
      </c>
      <c r="AM1067" s="358">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50"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2">
        <f>DATEVALUE(TEXT(I1068, "yyyy/mm/dd"))</f>
        <v/>
      </c>
      <c r="AM1068" s="358">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50"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2">
        <f>DATEVALUE(TEXT(I1069, "yyyy/mm/dd"))</f>
        <v/>
      </c>
      <c r="AM1069" s="358">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50"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2">
        <f>DATEVALUE(TEXT(I1070, "yyyy/mm/dd"))</f>
        <v/>
      </c>
      <c r="AM1070" s="358">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50"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62">
        <f>DATEVALUE(TEXT(I1071, "yyyy/mm/dd"))</f>
        <v/>
      </c>
      <c r="AM1071" s="358">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50"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62">
        <f>DATEVALUE(TEXT(I1072, "yyyy/mm/dd"))</f>
        <v/>
      </c>
      <c r="AM1072" s="358">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50"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62">
        <f>DATEVALUE(TEXT(I1073, "yyyy/mm/dd"))</f>
        <v/>
      </c>
      <c r="AM1073" s="358">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50"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62">
        <f>DATEVALUE(TEXT(I1074, "yyyy/mm/dd"))</f>
        <v/>
      </c>
      <c r="AM1074" s="358">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50"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62">
        <f>DATEVALUE(TEXT(I1075, "yyyy/mm/dd"))</f>
        <v/>
      </c>
      <c r="AM1075" s="358">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50"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62">
        <f>DATEVALUE(TEXT(I1076, "yyyy/mm/dd"))</f>
        <v/>
      </c>
      <c r="AM1076" s="358">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50"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62">
        <f>DATEVALUE(TEXT(I1077, "yyyy/mm/dd"))</f>
        <v/>
      </c>
      <c r="AM1077" s="358">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50"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62">
        <f>DATEVALUE(TEXT(I1078, "yyyy/mm/dd"))</f>
        <v/>
      </c>
      <c r="AM1078" s="358">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50"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62">
        <f>DATEVALUE(TEXT(I1079, "yyyy/mm/dd"))</f>
        <v/>
      </c>
      <c r="AM1079" s="358">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50"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62">
        <f>DATEVALUE(TEXT(I1080, "yyyy/mm/dd"))</f>
        <v/>
      </c>
      <c r="AM1080" s="358">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50"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62">
        <f>DATEVALUE(TEXT(I1081, "yyyy/mm/dd"))</f>
        <v/>
      </c>
      <c r="AM1081" s="358">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50"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62">
        <f>DATEVALUE(TEXT(I1082, "yyyy/mm/dd"))</f>
        <v/>
      </c>
      <c r="AM1082" s="358">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50"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62">
        <f>DATEVALUE(TEXT(I1083, "yyyy/mm/dd"))</f>
        <v/>
      </c>
      <c r="AM1083" s="358">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50"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62">
        <f>DATEVALUE(TEXT(I1084, "yyyy/mm/dd"))</f>
        <v/>
      </c>
      <c r="AM1084" s="358">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50"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62">
        <f>DATEVALUE(TEXT(I1085, "yyyy/mm/dd"))</f>
        <v/>
      </c>
      <c r="AM1085" s="358">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50"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62">
        <f>DATEVALUE(TEXT(I1086, "yyyy/mm/dd"))</f>
        <v/>
      </c>
      <c r="AM1086" s="358">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50"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62">
        <f>DATEVALUE(TEXT(I1087, "yyyy/mm/dd"))</f>
        <v/>
      </c>
      <c r="AM1087" s="358">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50"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62">
        <f>DATEVALUE(TEXT(I1088, "yyyy/mm/dd"))</f>
        <v/>
      </c>
      <c r="AM1088" s="358">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50"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62">
        <f>DATEVALUE(TEXT(I1089, "yyyy/mm/dd"))</f>
        <v/>
      </c>
      <c r="AM1089" s="358">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50"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62">
        <f>DATEVALUE(TEXT(I1090, "yyyy/mm/dd"))</f>
        <v/>
      </c>
      <c r="AM1090" s="358">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50"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62">
        <f>DATEVALUE(TEXT(I1091, "yyyy/mm/dd"))</f>
        <v/>
      </c>
      <c r="AM1091" s="358">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50"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62">
        <f>DATEVALUE(TEXT(I1092, "yyyy/mm/dd"))</f>
        <v/>
      </c>
      <c r="AM1092" s="358">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50"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62">
        <f>DATEVALUE(TEXT(I1093, "yyyy/mm/dd"))</f>
        <v/>
      </c>
      <c r="AM1093" s="358">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50"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62">
        <f>DATEVALUE(TEXT(I1094, "yyyy/mm/dd"))</f>
        <v/>
      </c>
      <c r="AM1094" s="358">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50"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62">
        <f>DATEVALUE(TEXT(I1095, "yyyy/mm/dd"))</f>
        <v/>
      </c>
      <c r="AM1095" s="358">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50"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62">
        <f>DATEVALUE(TEXT(I1096, "yyyy/mm/dd"))</f>
        <v/>
      </c>
      <c r="AM1096" s="358">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50"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62">
        <f>DATEVALUE(TEXT(I1097, "yyyy/mm/dd"))</f>
        <v/>
      </c>
      <c r="AM1097" s="358">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50"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62">
        <f>DATEVALUE(TEXT(I1098, "yyyy/mm/dd"))</f>
        <v/>
      </c>
      <c r="AM1098" s="358">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50"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62">
        <f>DATEVALUE(TEXT(I1099, "yyyy/mm/dd"))</f>
        <v/>
      </c>
      <c r="AM1099" s="358">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50"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62">
        <f>DATEVALUE(TEXT(I1100, "yyyy/mm/dd"))</f>
        <v/>
      </c>
      <c r="AM1100" s="358">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50"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62">
        <f>DATEVALUE(TEXT(I1101, "yyyy/mm/dd"))</f>
        <v/>
      </c>
      <c r="AM1101" s="358">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50"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62">
        <f>DATEVALUE(TEXT(I1102, "yyyy/mm/dd"))</f>
        <v/>
      </c>
      <c r="AM1102" s="358">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50"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62">
        <f>DATEVALUE(TEXT(I1103, "yyyy/mm/dd"))</f>
        <v/>
      </c>
      <c r="AM1103" s="358">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50"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62">
        <f>DATEVALUE(TEXT(I1104, "yyyy/mm/dd"))</f>
        <v/>
      </c>
      <c r="AM1104" s="358">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50"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62">
        <f>DATEVALUE(TEXT(I1105, "yyyy/mm/dd"))</f>
        <v/>
      </c>
      <c r="AM1105" s="358">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50"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62">
        <f>DATEVALUE(TEXT(I1106, "yyyy/mm/dd"))</f>
        <v/>
      </c>
      <c r="AM1106" s="358">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50"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62">
        <f>DATEVALUE(TEXT(I1107, "yyyy/mm/dd"))</f>
        <v/>
      </c>
      <c r="AM1107" s="358">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50"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62">
        <f>DATEVALUE(TEXT(I1108, "yyyy/mm/dd"))</f>
        <v/>
      </c>
      <c r="AM1108" s="358">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50"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62">
        <f>DATEVALUE(TEXT(I1109, "yyyy/mm/dd"))</f>
        <v/>
      </c>
      <c r="AM1109" s="358">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50"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62">
        <f>DATEVALUE(TEXT(I1110, "yyyy/mm/dd"))</f>
        <v/>
      </c>
      <c r="AM1110" s="358">
        <f>DATEVALUE(TEXT(X1110, "yyyy/mm/dd"))</f>
        <v/>
      </c>
    </row>
    <row r="1111" ht="21.6" customHeight="1" s="105">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50"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62">
        <f>DATEVALUE(TEXT(I1111, "yyyy/mm/dd"))</f>
        <v/>
      </c>
      <c r="AM1111" s="358">
        <f>DATEVALUE(TEXT(X1111, "yyyy/mm/dd"))</f>
        <v/>
      </c>
    </row>
    <row r="1112" ht="21.6" customHeight="1" s="105">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50"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62">
        <f>DATEVALUE(TEXT(I1112, "yyyy/mm/dd"))</f>
        <v/>
      </c>
      <c r="AM1112" s="358">
        <f>DATEVALUE(TEXT(X1112, "yyyy/mm/dd"))</f>
        <v/>
      </c>
    </row>
    <row r="1113" ht="21.6" customHeight="1" s="105">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50"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62">
        <f>DATEVALUE(TEXT(I1113, "yyyy/mm/dd"))</f>
        <v/>
      </c>
      <c r="AM1113" s="358">
        <f>DATEVALUE(TEXT(X1113, "yyyy/mm/dd"))</f>
        <v/>
      </c>
    </row>
    <row r="1114" ht="21.6" customHeight="1" s="105">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50"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62">
        <f>DATEVALUE(TEXT(I1114, "yyyy/mm/dd"))</f>
        <v/>
      </c>
      <c r="AM1114" s="358">
        <f>DATEVALUE(TEXT(X1114, "yyyy/mm/dd"))</f>
        <v/>
      </c>
    </row>
    <row r="1115" ht="21.6" customHeight="1" s="105">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50"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62">
        <f>DATEVALUE(TEXT(I1115, "yyyy/mm/dd"))</f>
        <v/>
      </c>
      <c r="AM1115" s="358">
        <f>DATEVALUE(TEXT(X1115, "yyyy/mm/dd"))</f>
        <v/>
      </c>
    </row>
    <row r="1116" ht="21.6" customHeight="1" s="105">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50"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62">
        <f>DATEVALUE(TEXT(I1116, "yyyy/mm/dd"))</f>
        <v/>
      </c>
      <c r="AM1116" s="358">
        <f>DATEVALUE(TEXT(X1116, "yyyy/mm/dd"))</f>
        <v/>
      </c>
    </row>
    <row r="1117" ht="21.6" customHeight="1" s="105">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50"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62">
        <f>DATEVALUE(TEXT(I1117, "yyyy/mm/dd"))</f>
        <v/>
      </c>
      <c r="AM1117" s="358">
        <f>DATEVALUE(TEXT(X1117, "yyyy/mm/dd"))</f>
        <v/>
      </c>
    </row>
    <row r="1118" ht="21.6" customHeight="1" s="105">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50"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62">
        <f>DATEVALUE(TEXT(I1118, "yyyy/mm/dd"))</f>
        <v/>
      </c>
      <c r="AM1118" s="358">
        <f>DATEVALUE(TEXT(X1118, "yyyy/mm/dd"))</f>
        <v/>
      </c>
    </row>
    <row r="1119" ht="21.6" customHeight="1" s="105">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50"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62">
        <f>DATEVALUE(TEXT(I1119, "yyyy/mm/dd"))</f>
        <v/>
      </c>
      <c r="AM1119" s="358">
        <f>DATEVALUE(TEXT(X1119, "yyyy/mm/dd"))</f>
        <v/>
      </c>
    </row>
    <row r="1120" ht="21.6" customHeight="1" s="105">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50"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62">
        <f>DATEVALUE(TEXT(I1120, "yyyy/mm/dd"))</f>
        <v/>
      </c>
      <c r="AM1120" s="358">
        <f>DATEVALUE(TEXT(X1120, "yyyy/mm/dd"))</f>
        <v/>
      </c>
    </row>
    <row r="1121" ht="21.6" customHeight="1" s="105">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50"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62">
        <f>DATEVALUE(TEXT(I1121, "yyyy/mm/dd"))</f>
        <v/>
      </c>
      <c r="AM1121" s="358">
        <f>DATEVALUE(TEXT(X1121, "yyyy/mm/dd"))</f>
        <v/>
      </c>
    </row>
    <row r="1122" ht="21.6" customHeight="1" s="105">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50"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62">
        <f>DATEVALUE(TEXT(I1122, "yyyy/mm/dd"))</f>
        <v/>
      </c>
      <c r="AM1122" s="358">
        <f>DATEVALUE(TEXT(X1122, "yyyy/mm/dd"))</f>
        <v/>
      </c>
    </row>
    <row r="1123" ht="21.6" customHeight="1" s="105">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50"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62">
        <f>DATEVALUE(TEXT(I1123, "yyyy/mm/dd"))</f>
        <v/>
      </c>
      <c r="AM1123" s="358">
        <f>DATEVALUE(TEXT(X1123, "yyyy/mm/dd"))</f>
        <v/>
      </c>
    </row>
    <row r="1124" ht="21.6" customHeight="1" s="105">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50"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62">
        <f>DATEVALUE(TEXT(I1124, "yyyy/mm/dd"))</f>
        <v/>
      </c>
      <c r="AM1124" s="358">
        <f>DATEVALUE(TEXT(X1124, "yyyy/mm/dd"))</f>
        <v/>
      </c>
    </row>
    <row r="1125" ht="21.6" customHeight="1" s="105">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50"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62">
        <f>DATEVALUE(TEXT(I1125, "yyyy/mm/dd"))</f>
        <v/>
      </c>
      <c r="AM1125" s="358">
        <f>DATEVALUE(TEXT(X1125, "yyyy/mm/dd"))</f>
        <v/>
      </c>
    </row>
    <row r="1126" ht="21.6" customHeight="1" s="105">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50"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62">
        <f>DATEVALUE(TEXT(I1126, "yyyy/mm/dd"))</f>
        <v/>
      </c>
      <c r="AM1126" s="358">
        <f>DATEVALUE(TEXT(X1126, "yyyy/mm/dd"))</f>
        <v/>
      </c>
    </row>
    <row r="1127" ht="21.6" customHeight="1" s="105">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50"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62">
        <f>DATEVALUE(TEXT(I1127, "yyyy/mm/dd"))</f>
        <v/>
      </c>
      <c r="AM1127" s="358">
        <f>DATEVALUE(TEXT(X1127, "yyyy/mm/dd"))</f>
        <v/>
      </c>
    </row>
    <row r="1128" ht="21.6" customHeight="1" s="105">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50"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62">
        <f>DATEVALUE(TEXT(I1128, "yyyy/mm/dd"))</f>
        <v/>
      </c>
      <c r="AM1128" s="358">
        <f>DATEVALUE(TEXT(X1128, "yyyy/mm/dd"))</f>
        <v/>
      </c>
    </row>
    <row r="1129" ht="21.6" customHeight="1" s="105">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50"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62">
        <f>DATEVALUE(TEXT(I1129, "yyyy/mm/dd"))</f>
        <v/>
      </c>
      <c r="AM1129" s="358">
        <f>DATEVALUE(TEXT(X1129, "yyyy/mm/dd"))</f>
        <v/>
      </c>
    </row>
    <row r="1130" ht="21.6" customHeight="1" s="105">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50"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62">
        <f>DATEVALUE(TEXT(I1130, "yyyy/mm/dd"))</f>
        <v/>
      </c>
      <c r="AM1130" s="358">
        <f>DATEVALUE(TEXT(X1130, "yyyy/mm/dd"))</f>
        <v/>
      </c>
    </row>
    <row r="1131" ht="21.6" customHeight="1" s="105">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50"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62">
        <f>DATEVALUE(TEXT(I1131, "yyyy/mm/dd"))</f>
        <v/>
      </c>
      <c r="AM1131" s="358">
        <f>DATEVALUE(TEXT(X1131, "yyyy/mm/dd"))</f>
        <v/>
      </c>
    </row>
    <row r="1132" ht="21.6" customHeight="1" s="105">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50"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62">
        <f>DATEVALUE(TEXT(I1132, "yyyy/mm/dd"))</f>
        <v/>
      </c>
      <c r="AM1132" s="358">
        <f>DATEVALUE(TEXT(X1132, "yyyy/mm/dd"))</f>
        <v/>
      </c>
    </row>
    <row r="1133" ht="21.6" customHeight="1" s="105">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50"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62">
        <f>DATEVALUE(TEXT(I1133, "yyyy/mm/dd"))</f>
        <v/>
      </c>
      <c r="AM1133" s="358">
        <f>DATEVALUE(TEXT(X1133, "yyyy/mm/dd"))</f>
        <v/>
      </c>
    </row>
    <row r="1134" ht="21.6" customHeight="1" s="105">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50"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62">
        <f>DATEVALUE(TEXT(I1134, "yyyy/mm/dd"))</f>
        <v/>
      </c>
      <c r="AM1134" s="358">
        <f>DATEVALUE(TEXT(X1134, "yyyy/mm/dd"))</f>
        <v/>
      </c>
    </row>
    <row r="1135" ht="21.6" customHeight="1" s="105">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50"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62">
        <f>DATEVALUE(TEXT(I1135, "yyyy/mm/dd"))</f>
        <v/>
      </c>
      <c r="AM1135" s="358">
        <f>DATEVALUE(TEXT(X1135, "yyyy/mm/dd"))</f>
        <v/>
      </c>
    </row>
    <row r="1136" ht="21.6" customHeight="1" s="105">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50"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62">
        <f>DATEVALUE(TEXT(I1136, "yyyy/mm/dd"))</f>
        <v/>
      </c>
      <c r="AM1136" s="358">
        <f>DATEVALUE(TEXT(X1136, "yyyy/mm/dd"))</f>
        <v/>
      </c>
    </row>
    <row r="1137" ht="21.6" customHeight="1" s="105">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50"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62">
        <f>DATEVALUE(TEXT(I1137, "yyyy/mm/dd"))</f>
        <v/>
      </c>
      <c r="AM1137" s="358">
        <f>DATEVALUE(TEXT(X1137, "yyyy/mm/dd"))</f>
        <v/>
      </c>
    </row>
    <row r="1138" ht="21.6" customHeight="1" s="105">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50"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62">
        <f>DATEVALUE(TEXT(I1138, "yyyy/mm/dd"))</f>
        <v/>
      </c>
      <c r="AM1138" s="358">
        <f>DATEVALUE(TEXT(X1138, "yyyy/mm/dd"))</f>
        <v/>
      </c>
    </row>
    <row r="1139" ht="21.6" customHeight="1" s="105">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50"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62">
        <f>DATEVALUE(TEXT(I1139, "yyyy/mm/dd"))</f>
        <v/>
      </c>
      <c r="AM1139" s="358">
        <f>DATEVALUE(TEXT(X1139, "yyyy/mm/dd"))</f>
        <v/>
      </c>
    </row>
    <row r="1140" ht="21.6" customHeight="1" s="105">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50"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62">
        <f>DATEVALUE(TEXT(I1140, "yyyy/mm/dd"))</f>
        <v/>
      </c>
      <c r="AM1140" s="358">
        <f>DATEVALUE(TEXT(X1140, "yyyy/mm/dd"))</f>
        <v/>
      </c>
    </row>
    <row r="1141" ht="21.6" customHeight="1" s="105">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50"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62">
        <f>DATEVALUE(TEXT(I1141, "yyyy/mm/dd"))</f>
        <v/>
      </c>
      <c r="AM1141" s="358">
        <f>DATEVALUE(TEXT(X1141, "yyyy/mm/dd"))</f>
        <v/>
      </c>
    </row>
    <row r="1142" ht="21.6" customHeight="1" s="105">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50"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62">
        <f>DATEVALUE(TEXT(I1142, "yyyy/mm/dd"))</f>
        <v/>
      </c>
      <c r="AM1142" s="358">
        <f>DATEVALUE(TEXT(X1142, "yyyy/mm/dd"))</f>
        <v/>
      </c>
    </row>
    <row r="1143" ht="21.6" customHeight="1" s="105">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50"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62">
        <f>DATEVALUE(TEXT(I1143, "yyyy/mm/dd"))</f>
        <v/>
      </c>
      <c r="AM1143" s="358">
        <f>DATEVALUE(TEXT(X1143, "yyyy/mm/dd"))</f>
        <v/>
      </c>
    </row>
    <row r="1144" ht="21.6" customHeight="1" s="105">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50"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62">
        <f>DATEVALUE(TEXT(I1144, "yyyy/mm/dd"))</f>
        <v/>
      </c>
      <c r="AM1144" s="358">
        <f>DATEVALUE(TEXT(X1144, "yyyy/mm/dd"))</f>
        <v/>
      </c>
    </row>
    <row r="1145" ht="21.6" customHeight="1" s="105">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50"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62">
        <f>DATEVALUE(TEXT(I1145, "yyyy/mm/dd"))</f>
        <v/>
      </c>
      <c r="AM1145" s="358">
        <f>DATEVALUE(TEXT(X1145, "yyyy/mm/dd"))</f>
        <v/>
      </c>
    </row>
    <row r="1146" ht="21.6" customHeight="1" s="105">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50"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62">
        <f>DATEVALUE(TEXT(I1146, "yyyy/mm/dd"))</f>
        <v/>
      </c>
      <c r="AM1146" s="358">
        <f>DATEVALUE(TEXT(X1146, "yyyy/mm/dd"))</f>
        <v/>
      </c>
    </row>
    <row r="1147" ht="21.6" customHeight="1" s="105">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50"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62">
        <f>DATEVALUE(TEXT(I1147, "yyyy/mm/dd"))</f>
        <v/>
      </c>
      <c r="AM1147" s="358">
        <f>DATEVALUE(TEXT(X1147, "yyyy/mm/dd"))</f>
        <v/>
      </c>
    </row>
    <row r="1148" ht="21.6" customHeight="1" s="105">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50"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62">
        <f>DATEVALUE(TEXT(I1148, "yyyy/mm/dd"))</f>
        <v/>
      </c>
      <c r="AM1148" s="358">
        <f>DATEVALUE(TEXT(X1148, "yyyy/mm/dd"))</f>
        <v/>
      </c>
    </row>
    <row r="1149" ht="21.6" customHeight="1" s="105">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50"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62">
        <f>DATEVALUE(TEXT(I1149, "yyyy/mm/dd"))</f>
        <v/>
      </c>
      <c r="AM1149" s="358">
        <f>DATEVALUE(TEXT(X1149, "yyyy/mm/dd"))</f>
        <v/>
      </c>
    </row>
    <row r="1150" ht="21.6" customHeight="1" s="105">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50"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62">
        <f>DATEVALUE(TEXT(I1150, "yyyy/mm/dd"))</f>
        <v/>
      </c>
      <c r="AM1150" s="358">
        <f>DATEVALUE(TEXT(X1150, "yyyy/mm/dd"))</f>
        <v/>
      </c>
    </row>
    <row r="1151" ht="21.6" customHeight="1" s="105">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50"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62">
        <f>DATEVALUE(TEXT(I1151, "yyyy/mm/dd"))</f>
        <v/>
      </c>
      <c r="AM1151" s="358">
        <f>DATEVALUE(TEXT(X1151, "yyyy/mm/dd"))</f>
        <v/>
      </c>
    </row>
    <row r="1152" ht="21.6" customHeight="1" s="105">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50"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62">
        <f>DATEVALUE(TEXT(I1152, "yyyy/mm/dd"))</f>
        <v/>
      </c>
      <c r="AM1152" s="358">
        <f>DATEVALUE(TEXT(X1152, "yyyy/mm/dd"))</f>
        <v/>
      </c>
    </row>
    <row r="1153" ht="21.6" customHeight="1" s="105">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50"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62">
        <f>DATEVALUE(TEXT(I1153, "yyyy/mm/dd"))</f>
        <v/>
      </c>
      <c r="AM1153" s="358">
        <f>DATEVALUE(TEXT(X1153, "yyyy/mm/dd"))</f>
        <v/>
      </c>
    </row>
    <row r="1154" ht="21.6" customHeight="1" s="105">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50"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62">
        <f>DATEVALUE(TEXT(I1154, "yyyy/mm/dd"))</f>
        <v/>
      </c>
      <c r="AM1154" s="358">
        <f>DATEVALUE(TEXT(X1154, "yyyy/mm/dd"))</f>
        <v/>
      </c>
    </row>
    <row r="1155" ht="21.6" customHeight="1" s="105">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50"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62">
        <f>DATEVALUE(TEXT(I1155, "yyyy/mm/dd"))</f>
        <v/>
      </c>
      <c r="AM1155" s="358">
        <f>DATEVALUE(TEXT(X1155, "yyyy/mm/dd"))</f>
        <v/>
      </c>
    </row>
    <row r="1156" ht="21.6" customHeight="1" s="105">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50"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62">
        <f>DATEVALUE(TEXT(I1156, "yyyy/mm/dd"))</f>
        <v/>
      </c>
      <c r="AM1156" s="358">
        <f>DATEVALUE(TEXT(X1156, "yyyy/mm/dd"))</f>
        <v/>
      </c>
    </row>
    <row r="1157" ht="21.6" customHeight="1" s="105">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50"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62">
        <f>DATEVALUE(TEXT(I1157, "yyyy/mm/dd"))</f>
        <v/>
      </c>
      <c r="AM1157" s="358">
        <f>DATEVALUE(TEXT(X1157, "yyyy/mm/dd"))</f>
        <v/>
      </c>
    </row>
    <row r="1158" ht="21.6" customHeight="1" s="105">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50"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62">
        <f>DATEVALUE(TEXT(I1158, "yyyy/mm/dd"))</f>
        <v/>
      </c>
      <c r="AM1158" s="358">
        <f>DATEVALUE(TEXT(X1158, "yyyy/mm/dd"))</f>
        <v/>
      </c>
    </row>
    <row r="1159" ht="21.6" customHeight="1" s="105">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50"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62">
        <f>DATEVALUE(TEXT(I1159, "yyyy/mm/dd"))</f>
        <v/>
      </c>
      <c r="AM1159" s="358">
        <f>DATEVALUE(TEXT(X1159, "yyyy/mm/dd"))</f>
        <v/>
      </c>
    </row>
    <row r="1160" ht="21.6" customHeight="1" s="105">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50"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62">
        <f>DATEVALUE(TEXT(I1160, "yyyy/mm/dd"))</f>
        <v/>
      </c>
      <c r="AM1160" s="358">
        <f>DATEVALUE(TEXT(X1160, "yyyy/mm/dd"))</f>
        <v/>
      </c>
    </row>
    <row r="1161" ht="21.6" customHeight="1" s="105">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50"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62">
        <f>DATEVALUE(TEXT(I1161, "yyyy/mm/dd"))</f>
        <v/>
      </c>
      <c r="AM1161" s="358">
        <f>DATEVALUE(TEXT(X1161, "yyyy/mm/dd"))</f>
        <v/>
      </c>
    </row>
    <row r="1162" ht="21.6" customHeight="1" s="105">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50"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62">
        <f>DATEVALUE(TEXT(I1162, "yyyy/mm/dd"))</f>
        <v/>
      </c>
      <c r="AM1162" s="358">
        <f>DATEVALUE(TEXT(X1162, "yyyy/mm/dd"))</f>
        <v/>
      </c>
    </row>
    <row r="1163" ht="21.6" customHeight="1" s="105">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50"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62">
        <f>DATEVALUE(TEXT(I1163, "yyyy/mm/dd"))</f>
        <v/>
      </c>
      <c r="AM1163" s="358">
        <f>DATEVALUE(TEXT(X1163, "yyyy/mm/dd"))</f>
        <v/>
      </c>
    </row>
    <row r="1164" ht="21.6" customHeight="1" s="105">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50"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62">
        <f>DATEVALUE(TEXT(I1164, "yyyy/mm/dd"))</f>
        <v/>
      </c>
      <c r="AM1164" s="358">
        <f>DATEVALUE(TEXT(X1164, "yyyy/mm/dd"))</f>
        <v/>
      </c>
    </row>
    <row r="1165" ht="21.6" customHeight="1" s="105">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50"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62">
        <f>DATEVALUE(TEXT(I1165, "yyyy/mm/dd"))</f>
        <v/>
      </c>
      <c r="AM1165" s="358">
        <f>DATEVALUE(TEXT(X1165, "yyyy/mm/dd"))</f>
        <v/>
      </c>
    </row>
    <row r="1166" ht="21.6" customHeight="1" s="105">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50"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62">
        <f>DATEVALUE(TEXT(I1166, "yyyy/mm/dd"))</f>
        <v/>
      </c>
      <c r="AM1166" s="358">
        <f>DATEVALUE(TEXT(X1166, "yyyy/mm/dd"))</f>
        <v/>
      </c>
    </row>
    <row r="1167" ht="21.6" customHeight="1" s="105">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50"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62">
        <f>DATEVALUE(TEXT(I1167, "yyyy/mm/dd"))</f>
        <v/>
      </c>
      <c r="AM1167" s="358">
        <f>DATEVALUE(TEXT(X1167, "yyyy/mm/dd"))</f>
        <v/>
      </c>
    </row>
    <row r="1168" ht="21.6" customHeight="1" s="105">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50"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62">
        <f>DATEVALUE(TEXT(I1168, "yyyy/mm/dd"))</f>
        <v/>
      </c>
      <c r="AM1168" s="358">
        <f>DATEVALUE(TEXT(X1168, "yyyy/mm/dd"))</f>
        <v/>
      </c>
    </row>
    <row r="1169" ht="21.6" customHeight="1" s="105">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50"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62">
        <f>DATEVALUE(TEXT(I1169, "yyyy/mm/dd"))</f>
        <v/>
      </c>
      <c r="AM1169" s="358">
        <f>DATEVALUE(TEXT(X1169, "yyyy/mm/dd"))</f>
        <v/>
      </c>
    </row>
    <row r="1170" ht="21.6" customHeight="1" s="105">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50"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62">
        <f>DATEVALUE(TEXT(I1170, "yyyy/mm/dd"))</f>
        <v/>
      </c>
      <c r="AM1170" s="358">
        <f>DATEVALUE(TEXT(X1170, "yyyy/mm/dd"))</f>
        <v/>
      </c>
    </row>
    <row r="1171" ht="21.6" customHeight="1" s="105">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50"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62">
        <f>DATEVALUE(TEXT(I1171, "yyyy/mm/dd"))</f>
        <v/>
      </c>
      <c r="AM1171" s="358">
        <f>DATEVALUE(TEXT(X1171, "yyyy/mm/dd"))</f>
        <v/>
      </c>
    </row>
  </sheetData>
  <autoFilter ref="A1:AM1"/>
  <conditionalFormatting sqref="C1:C3">
    <cfRule type="duplicateValues" priority="1" dxfId="307"/>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040"/>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5">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5">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5">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5">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5">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5">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5">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5">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5">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5">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5">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5">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5">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5">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5">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5">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5">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5">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5">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5">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5">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5">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5">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5">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5">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5">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5">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5">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5">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5">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5">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5">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5">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5">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5">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5">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5">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5">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5">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5">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5">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5">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5">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5">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5">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5">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5">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5">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5">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5">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5">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5">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5">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5">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5">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5">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5">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5">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5">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5">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5">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5">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5">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5">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5">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5">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5">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5">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5">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5">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5">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5">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5">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5">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5">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5">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5">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5">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5">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5">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5">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5">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5">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5">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5">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5">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5">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5">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5">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5">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5">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5">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5">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5">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42" t="n">
        <v>2025041163</v>
      </c>
      <c r="AO4" s="443" t="n"/>
      <c r="AP4" s="444"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filterMode="1">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414" min="14" max="14"/>
    <col width="3.3984375" bestFit="1" customWidth="1" style="196" min="15" max="16"/>
    <col width="4" customWidth="1" style="196" min="17" max="17"/>
    <col width="7.69921875" customWidth="1" style="196" min="18" max="18"/>
    <col width="11.19921875" customWidth="1" style="196" min="19" max="216"/>
    <col width="11.19921875" customWidth="1" style="196" min="217"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AA3" s="145" t="n"/>
      <c r="AB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idden="1" ht="19.5" customHeight="1" s="105">
      <c r="A9" s="147" t="n">
        <v>4093</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45803</v>
      </c>
      <c r="L9" s="147">
        <f>VLOOKUP(A9,'0919門市清單主檔'!B:V,21,FALSE)</f>
        <v/>
      </c>
      <c r="Q9" s="145" t="inlineStr">
        <is>
          <t>THILF0</t>
        </is>
      </c>
      <c r="R9" s="151" t="inlineStr">
        <is>
          <t>萊爾富</t>
        </is>
      </c>
    </row>
    <row r="10" hidden="1" ht="19.5" customHeight="1" s="105">
      <c r="A10" s="147" t="n">
        <v>4153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45803</v>
      </c>
      <c r="L10" s="147">
        <f>VLOOKUP(A10,'0919門市清單主檔'!B:V,21,FALSE)</f>
        <v/>
      </c>
      <c r="Q10" s="145" t="inlineStr">
        <is>
          <t>THILF0</t>
        </is>
      </c>
      <c r="R10" s="151" t="inlineStr">
        <is>
          <t>萊爾富</t>
        </is>
      </c>
    </row>
    <row r="11" hidden="1" ht="19.5" customHeight="1" s="105">
      <c r="A11" s="147" t="n">
        <v>4529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45803</v>
      </c>
      <c r="L11" s="147">
        <f>VLOOKUP(A11,'0919門市清單主檔'!B:V,21,FALSE)</f>
        <v/>
      </c>
      <c r="Q11" s="145" t="inlineStr">
        <is>
          <t>THILF0</t>
        </is>
      </c>
      <c r="R11" s="151" t="inlineStr">
        <is>
          <t>萊爾富</t>
        </is>
      </c>
    </row>
    <row r="12" hidden="1" ht="19.5" customHeight="1" s="105">
      <c r="A12" s="147" t="n">
        <v>2897</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45777</v>
      </c>
      <c r="L12" s="147">
        <f>VLOOKUP(A12,'0919門市清單主檔'!B:V,21,FALSE)</f>
        <v/>
      </c>
      <c r="Q12" s="145" t="inlineStr">
        <is>
          <t>THILF0</t>
        </is>
      </c>
      <c r="R12" s="151" t="inlineStr">
        <is>
          <t>萊爾富</t>
        </is>
      </c>
    </row>
    <row r="13" hidden="1" ht="19.5" customHeight="1" s="105">
      <c r="A13" s="147" t="n">
        <v>2318</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45777</v>
      </c>
      <c r="L13" s="147">
        <f>VLOOKUP(A13,'0919門市清單主檔'!B:V,21,FALSE)</f>
        <v/>
      </c>
      <c r="Q13" s="145" t="n"/>
      <c r="R13" s="151" t="inlineStr">
        <is>
          <t>萊爾富</t>
        </is>
      </c>
    </row>
    <row r="14" hidden="1" ht="19.5" customHeight="1" s="105">
      <c r="A14" s="147" t="n">
        <v>4218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45813</v>
      </c>
      <c r="L14" s="147">
        <f>VLOOKUP(A14,'0919門市清單主檔'!B:V,21,FALSE)</f>
        <v/>
      </c>
      <c r="Q14" s="145" t="n"/>
      <c r="R14" s="151" t="inlineStr">
        <is>
          <t>萊爾富</t>
        </is>
      </c>
    </row>
    <row r="15" hidden="1" ht="19.5" customHeight="1" s="105">
      <c r="A15" s="147" t="n">
        <v>4802</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45806</v>
      </c>
      <c r="L15" s="147">
        <f>VLOOKUP(A15,'0919門市清單主檔'!B:V,21,FALSE)</f>
        <v/>
      </c>
      <c r="Q15" s="145" t="inlineStr">
        <is>
          <t>THILF0</t>
        </is>
      </c>
      <c r="R15" s="151" t="inlineStr">
        <is>
          <t>萊爾富</t>
        </is>
      </c>
    </row>
    <row r="16" ht="19.5" customHeight="1" s="105">
      <c r="A16" s="147" t="n">
        <v>3359</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45771</v>
      </c>
      <c r="L16" s="147">
        <f>VLOOKUP(A16,'0919門市清單主檔'!B:V,21,FALSE)</f>
        <v/>
      </c>
      <c r="Q16" s="145" t="inlineStr">
        <is>
          <t>THILF0</t>
        </is>
      </c>
      <c r="R16" s="151" t="inlineStr">
        <is>
          <t>萊爾富</t>
        </is>
      </c>
    </row>
    <row r="17" hidden="1" ht="19.5" customHeight="1" s="105">
      <c r="A17" s="147" t="n">
        <v>3751</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45803</v>
      </c>
      <c r="L17" s="147">
        <f>VLOOKUP(A17,'0919門市清單主檔'!B:V,21,FALSE)</f>
        <v/>
      </c>
      <c r="Q17" s="145" t="n"/>
      <c r="R17" s="151" t="inlineStr">
        <is>
          <t>萊爾富</t>
        </is>
      </c>
    </row>
    <row r="18" hidden="1" ht="19.5" customHeight="1" s="105">
      <c r="A18" s="147" t="n">
        <v>2237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45789</v>
      </c>
      <c r="L18" s="147">
        <f>VLOOKUP(A18,'0919門市清單主檔'!B:V,21,FALSE)</f>
        <v/>
      </c>
      <c r="Q18" s="145" t="inlineStr">
        <is>
          <t>THILF0</t>
        </is>
      </c>
      <c r="R18" s="151" t="inlineStr">
        <is>
          <t>萊爾富</t>
        </is>
      </c>
    </row>
    <row r="19" ht="19.5" customHeight="1" s="105">
      <c r="A19" s="147" t="n">
        <v>3957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n"/>
      <c r="R19" s="151" t="inlineStr">
        <is>
          <t>萊爾富</t>
        </is>
      </c>
    </row>
    <row r="20" hidden="1" ht="19.5" customHeight="1" s="105">
      <c r="A20" s="147" t="n">
        <v>4298</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45803</v>
      </c>
      <c r="L20" s="147">
        <f>VLOOKUP(A20,'0919門市清單主檔'!B:V,21,FALSE)</f>
        <v/>
      </c>
      <c r="Q20" s="145" t="inlineStr">
        <is>
          <t>THILF0</t>
        </is>
      </c>
      <c r="R20" s="151" t="inlineStr">
        <is>
          <t>萊爾富</t>
        </is>
      </c>
    </row>
    <row r="21" hidden="1" ht="19.5" customHeight="1" s="105">
      <c r="A21" s="147" t="n">
        <v>4788</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45803</v>
      </c>
      <c r="L21" s="147">
        <f>VLOOKUP(A21,'0919門市清單主檔'!B:V,21,FALSE)</f>
        <v/>
      </c>
      <c r="Q21" s="145" t="n"/>
      <c r="R21" s="151" t="inlineStr">
        <is>
          <t>萊爾富</t>
        </is>
      </c>
    </row>
    <row r="22" hidden="1" ht="19.5" customHeight="1" s="105">
      <c r="A22" s="147" t="n">
        <v>4739</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45789</v>
      </c>
      <c r="L22" s="147">
        <f>VLOOKUP(A22,'0919門市清單主檔'!B:V,21,FALSE)</f>
        <v/>
      </c>
      <c r="Q22" s="145" t="n"/>
      <c r="R22" s="151" t="inlineStr">
        <is>
          <t>萊爾富</t>
        </is>
      </c>
    </row>
    <row r="23" hidden="1" ht="19.5" customHeight="1" s="105">
      <c r="A23" s="147" t="inlineStr">
        <is>
          <t>A171</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45754</v>
      </c>
      <c r="L23" s="147">
        <f>VLOOKUP(A23,'0919門市清單主檔'!B:V,21,FALSE)</f>
        <v/>
      </c>
      <c r="Q23" s="145" t="n"/>
      <c r="R23" s="151" t="inlineStr">
        <is>
          <t>萊爾富</t>
        </is>
      </c>
    </row>
    <row r="24" hidden="1" ht="19.5" customHeight="1" s="105">
      <c r="A24" s="147" t="n">
        <v>2890</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idden="1" ht="19.5" customHeight="1" s="105">
      <c r="A25" s="147" t="inlineStr">
        <is>
          <t>D193</t>
        </is>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45810</v>
      </c>
      <c r="L25" s="147">
        <f>VLOOKUP(A25,'0919門市清單主檔'!B:V,21,FALSE)</f>
        <v/>
      </c>
      <c r="Q25" s="145" t="inlineStr">
        <is>
          <t>THILF0</t>
        </is>
      </c>
      <c r="R25" s="151" t="inlineStr">
        <is>
          <t>萊爾富</t>
        </is>
      </c>
    </row>
    <row r="26" hidden="1" ht="19.5" customHeight="1" s="105">
      <c r="A26" s="147" t="n">
        <v>5101</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45833</v>
      </c>
      <c r="L26" s="147">
        <f>VLOOKUP(A26,'0919門市清單主檔'!B:V,21,FALSE)</f>
        <v/>
      </c>
      <c r="Q26" s="145" t="inlineStr">
        <is>
          <t>THILF0</t>
        </is>
      </c>
      <c r="R26" s="151" t="inlineStr">
        <is>
          <t>萊爾富</t>
        </is>
      </c>
    </row>
    <row r="27" hidden="1" ht="19.5" customHeight="1" s="105">
      <c r="A27" s="147" t="n">
        <v>4844</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45790</v>
      </c>
      <c r="L27" s="147">
        <f>VLOOKUP(A27,'0919門市清單主檔'!B:V,21,FALSE)</f>
        <v/>
      </c>
      <c r="Q27" s="145" t="inlineStr">
        <is>
          <t>THILF0</t>
        </is>
      </c>
      <c r="R27" s="151" t="inlineStr">
        <is>
          <t>萊爾富</t>
        </is>
      </c>
    </row>
    <row r="28" hidden="1" ht="19.5" customHeight="1" s="105">
      <c r="A28" s="147" t="n">
        <v>4658</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45811</v>
      </c>
      <c r="L28" s="147">
        <f>VLOOKUP(A28,'0919門市清單主檔'!B:V,21,FALSE)</f>
        <v/>
      </c>
      <c r="Q28" s="145" t="n"/>
      <c r="R28" s="151" t="inlineStr">
        <is>
          <t>萊爾富</t>
        </is>
      </c>
    </row>
    <row r="29" hidden="1"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idden="1"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idden="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idden="1"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idden="1"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idden="1"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idden="1"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idden="1"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idden="1"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idden="1"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idden="1"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idden="1"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idden="1"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idden="1"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idden="1"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idden="1"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idden="1"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"&lt;"&amp;$N$3)&gt;0),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2">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"&lt;"&amp;$N$3)&gt;0),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2">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"&lt;"&amp;$N$3)&gt;0),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2">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"&lt;"&amp;$N$3)&gt;0),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2">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"&lt;"&amp;$N$3)&gt;0),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2">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"&lt;"&amp;$N$3)&gt;0),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2">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"&lt;"&amp;$N$3)&gt;0),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2">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"&lt;"&amp;$N$3)&gt;0),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2">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"&lt;"&amp;$N$3)&gt;0),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2">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"&lt;"&amp;$N$3)&gt;0),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2">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"&lt;"&amp;$N$3)&gt;0),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2">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"&lt;"&amp;$N$3)&gt;0),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2">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"&lt;"&amp;$N$3)&gt;0),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2">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"&lt;"&amp;$N$3)&gt;0),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2">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"&lt;"&amp;$N$3)&gt;0),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2">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"&lt;"&amp;$N$3)&gt;0),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2">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"&lt;"&amp;$N$3)&gt;0),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2">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"&lt;"&amp;$N$3)&gt;0),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2">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"&lt;"&amp;$N$3)&gt;0),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2">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"&lt;"&amp;$N$3)&gt;0),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2">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"&lt;"&amp;$N$3)&gt;0),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2">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"&lt;"&amp;$N$3)&gt;0),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2">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"&lt;"&amp;$N$3)&gt;0),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2">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idden="1"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"&lt;"&amp;$N$3)&gt;0),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2">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"&lt;"&amp;$N$3)&gt;0),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2">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"&lt;"&amp;$N$3)&gt;0),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2">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idden="1"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"&lt;"&amp;$N$3)&gt;0),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2">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idden="1"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"&lt;"&amp;$N$3)&gt;0),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2">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"&lt;"&amp;$N$3)&gt;0),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2">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"&lt;"&amp;$N$3)&gt;0),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2">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"&lt;"&amp;$N$3)&gt;0),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2">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idden="1"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"&lt;"&amp;$N$3)&gt;0),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2">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idden="1"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"&lt;"&amp;$N$3)&gt;0),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2">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idden="1"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"&lt;"&amp;$N$3)&gt;0),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2">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idden="1"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"&lt;"&amp;$N$3)&gt;0),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2">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idden="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"&lt;"&amp;$N$3)&gt;0),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2">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idden="1"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"&lt;"&amp;$N$3)&gt;0),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2">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"&lt;"&amp;$N$3)&gt;0),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2">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"&lt;"&amp;$N$3)&gt;0),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2">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"&lt;"&amp;$N$3)&gt;0),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2">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"&lt;"&amp;$N$3)&gt;0),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2">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"&lt;"&amp;$N$3)&gt;0),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2">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"&lt;"&amp;$N$3)&gt;0),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2">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"&lt;"&amp;$N$3)&gt;0),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2">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"&lt;"&amp;$N$3)&gt;0),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2">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idden="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"&lt;"&amp;$N$3)&gt;0),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2">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idden="1"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"&lt;"&amp;$N$3)&gt;0),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2">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"&lt;"&amp;$N$3)&gt;0),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2">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"&lt;"&amp;$N$3)&gt;0),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2">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"&lt;"&amp;$N$3)&gt;0),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2">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"&lt;"&amp;$N$3)&gt;0),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2">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"&lt;"&amp;$N$3)&gt;0),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2">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"&lt;"&amp;$N$3)&gt;0),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2">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"&lt;"&amp;$N$3)&gt;0),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2">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idden="1"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"&lt;"&amp;$N$3)&gt;0),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2">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idden="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"&lt;"&amp;$N$3)&gt;0),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2">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"&lt;"&amp;$N$3)&gt;0),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2">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"&lt;"&amp;$N$3)&gt;0),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2">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"&lt;"&amp;$N$3)&gt;0),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2">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"&lt;"&amp;$N$3)&gt;0),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2">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"&lt;"&amp;$N$3)&gt;0),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2">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"&lt;"&amp;$N$3)&gt;0),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2">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L127">
    <filterColumn colId="11" hiddenButton="0" showButton="1">
      <filters>
        <filter val="三重區"/>
      </filters>
    </filterColumn>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10" bestFit="1" customWidth="1" style="196" min="14" max="14"/>
    <col width="3.3984375" bestFit="1" customWidth="1" style="196" min="15" max="16"/>
    <col width="4" customWidth="1" style="196" min="17" max="17"/>
    <col width="5.09765625" customWidth="1" style="196" min="18" max="18"/>
    <col width="11.19921875" customWidth="1" style="196" min="19" max="216"/>
    <col width="11.19921875" customWidth="1" style="196" min="217"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2390</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45" t="n"/>
    </row>
    <row r="10" ht="21.6" customHeight="1" s="105">
      <c r="A10" s="147" t="n">
        <v>2691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inlineStr">
        <is>
          <t>L516</t>
        </is>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45833</v>
      </c>
      <c r="L11" s="147">
        <f>VLOOKUP(A11,'0919門市清單主檔'!B:V,21,FALSE)</f>
        <v/>
      </c>
      <c r="Q11" s="145" t="n"/>
      <c r="R11" s="151" t="inlineStr">
        <is>
          <t>萊爾富</t>
        </is>
      </c>
    </row>
    <row r="12" ht="21.6" customHeight="1" s="105">
      <c r="A12" s="147" t="n">
        <v>3851</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45757</v>
      </c>
      <c r="L12" s="147">
        <f>VLOOKUP(A12,'0919門市清單主檔'!B:V,21,FALSE)</f>
        <v/>
      </c>
      <c r="Q12" s="145" t="inlineStr">
        <is>
          <t>THILF0</t>
        </is>
      </c>
      <c r="R12" s="145" t="n"/>
    </row>
    <row r="13" ht="21.6" customHeight="1" s="105">
      <c r="A13" s="147" t="n">
        <v>4701</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45827</v>
      </c>
      <c r="L13" s="147">
        <f>VLOOKUP(A13,'0919門市清單主檔'!B:V,21,FALSE)</f>
        <v/>
      </c>
      <c r="Q13" s="145" t="n"/>
      <c r="R13" s="151" t="inlineStr">
        <is>
          <t>萊爾富</t>
        </is>
      </c>
    </row>
    <row r="14" ht="21.6" customHeight="1" s="105">
      <c r="A14" s="147" t="n">
        <v>3358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45776</v>
      </c>
      <c r="L14" s="147">
        <f>VLOOKUP(A14,'0919門市清單主檔'!B:V,21,FALSE)</f>
        <v/>
      </c>
      <c r="Q14" s="145" t="n"/>
      <c r="R14" s="151" t="inlineStr">
        <is>
          <t>萊爾富</t>
        </is>
      </c>
    </row>
    <row r="15" ht="21.6" customHeight="1" s="105">
      <c r="A15" s="147" t="n">
        <v>3999</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45810</v>
      </c>
      <c r="L15" s="147">
        <f>VLOOKUP(A15,'0919門市清單主檔'!B:V,21,FALSE)</f>
        <v/>
      </c>
      <c r="Q15" s="145" t="inlineStr">
        <is>
          <t>THILF0</t>
        </is>
      </c>
      <c r="R15" s="145" t="n"/>
    </row>
    <row r="16" ht="21.6" customHeight="1" s="105">
      <c r="A16" s="147" t="n">
        <v>3243</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45783</v>
      </c>
      <c r="L16" s="147">
        <f>VLOOKUP(A16,'0919門市清單主檔'!B:V,21,FALSE)</f>
        <v/>
      </c>
      <c r="Q16" s="145" t="inlineStr">
        <is>
          <t>THILF0</t>
        </is>
      </c>
      <c r="R16" s="145" t="n"/>
    </row>
    <row r="17" ht="21.6" customHeight="1" s="105">
      <c r="A17" s="147" t="n">
        <v>3137</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45798</v>
      </c>
      <c r="L17" s="147">
        <f>VLOOKUP(A17,'0919門市清單主檔'!B:V,21,FALSE)</f>
        <v/>
      </c>
      <c r="Q17" s="145" t="n"/>
      <c r="R17" s="151" t="inlineStr">
        <is>
          <t>萊爾富</t>
        </is>
      </c>
    </row>
    <row r="18" ht="21.6" customHeight="1" s="105">
      <c r="A18" s="147" t="n">
        <v>4483</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45798</v>
      </c>
      <c r="L18" s="147">
        <f>VLOOKUP(A18,'0919門市清單主檔'!B:V,21,FALSE)</f>
        <v/>
      </c>
      <c r="Q18" s="145" t="inlineStr">
        <is>
          <t>THILF0</t>
        </is>
      </c>
      <c r="R18" s="145" t="n"/>
    </row>
    <row r="19" ht="21.6" customHeight="1" s="105">
      <c r="A19" s="147" t="n">
        <v>4715</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45783</v>
      </c>
      <c r="L19" s="147">
        <f>VLOOKUP(A19,'0919門市清單主檔'!B:V,21,FALSE)</f>
        <v/>
      </c>
      <c r="Q19" s="145" t="inlineStr">
        <is>
          <t>THILF0</t>
        </is>
      </c>
      <c r="R19" s="145" t="n"/>
    </row>
    <row r="20" ht="21.6" customHeight="1" s="105">
      <c r="A20" s="147" t="n">
        <v>4834</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45783</v>
      </c>
      <c r="L20" s="147">
        <f>VLOOKUP(A20,'0919門市清單主檔'!B:V,21,FALSE)</f>
        <v/>
      </c>
      <c r="Q20" s="145" t="inlineStr">
        <is>
          <t>THILF0</t>
        </is>
      </c>
      <c r="R20" s="145" t="n"/>
    </row>
    <row r="21" ht="21.6" customHeight="1" s="105">
      <c r="A21" s="147" t="n">
        <v>4326</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45755</v>
      </c>
      <c r="L21" s="147">
        <f>VLOOKUP(A21,'0919門市清單主檔'!B:V,21,FALSE)</f>
        <v/>
      </c>
      <c r="Q21" s="145" t="inlineStr">
        <is>
          <t>THILF0</t>
        </is>
      </c>
      <c r="R21" s="145" t="n"/>
    </row>
    <row r="22" ht="21.6" customHeight="1" s="105">
      <c r="A22" s="147" t="n">
        <v>4514</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45798</v>
      </c>
      <c r="L22" s="147">
        <f>VLOOKUP(A22,'0919門市清單主檔'!B:V,21,FALSE)</f>
        <v/>
      </c>
      <c r="Q22" s="145" t="inlineStr">
        <is>
          <t>THILF0</t>
        </is>
      </c>
      <c r="R22" s="151" t="inlineStr">
        <is>
          <t>萊爾富</t>
        </is>
      </c>
    </row>
    <row r="23" ht="21.6" customHeight="1" s="105">
      <c r="A23" s="147" t="n">
        <v>4282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45755</v>
      </c>
      <c r="L23" s="147">
        <f>VLOOKUP(A23,'0919門市清單主檔'!B:V,21,FALSE)</f>
        <v/>
      </c>
      <c r="Q23" s="145" t="n"/>
      <c r="R23" s="151" t="inlineStr">
        <is>
          <t>萊爾富</t>
        </is>
      </c>
    </row>
    <row r="24" ht="21.6" customHeight="1" s="105">
      <c r="A24" s="147" t="n">
        <v>4316</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45813</v>
      </c>
      <c r="L24" s="147">
        <f>VLOOKUP(A24,'0919門市清單主檔'!B:V,21,FALSE)</f>
        <v/>
      </c>
      <c r="Q24" s="145" t="inlineStr">
        <is>
          <t>THILF0</t>
        </is>
      </c>
      <c r="R24" s="145" t="n"/>
    </row>
    <row r="25" ht="21.6" customHeight="1" s="105">
      <c r="A25" s="147" t="n">
        <v>3921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45783</v>
      </c>
      <c r="L25" s="147">
        <f>VLOOKUP(A25,'0919門市清單主檔'!B:V,21,FALSE)</f>
        <v/>
      </c>
      <c r="Q25" s="145" t="inlineStr">
        <is>
          <t>THILF0</t>
        </is>
      </c>
      <c r="R25" s="145" t="n"/>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L6"/>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A7" sqref="A7:W963"/>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414" min="9" max="9"/>
    <col width="11.19921875" customWidth="1" style="196" min="10" max="10"/>
    <col width="11.69921875" bestFit="1" customWidth="1" style="196" min="11" max="11"/>
    <col width="12.3984375" bestFit="1" customWidth="1" style="414" min="12" max="12"/>
    <col width="10" bestFit="1" customWidth="1" style="196" min="13" max="14"/>
    <col width="3.3984375" bestFit="1" customWidth="1" style="196" min="15" max="16"/>
    <col width="7.5" bestFit="1" customWidth="1" style="196" min="17" max="17"/>
    <col width="5.09765625" customWidth="1" style="196" min="18" max="18"/>
    <col width="11.19921875" customWidth="1" style="196" min="19" max="216"/>
    <col width="11.19921875" customWidth="1" style="196" min="217"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4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inlineStr">
        <is>
          <t>L501</t>
        </is>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45838</v>
      </c>
      <c r="L8" s="147">
        <f>VLOOKUP(A8,'0919門市清單主檔'!B:V,21,FALSE)</f>
        <v/>
      </c>
      <c r="Q8" s="145" t="inlineStr">
        <is>
          <t>THILF0</t>
        </is>
      </c>
      <c r="R8" s="145" t="n"/>
    </row>
    <row r="9" ht="21.6" customHeight="1" s="105">
      <c r="A9" s="147" t="n">
        <v>3551</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45828</v>
      </c>
      <c r="L9" s="147">
        <f>VLOOKUP(A9,'0919門市清單主檔'!B:V,21,FALSE)</f>
        <v/>
      </c>
      <c r="Q9" s="145" t="inlineStr">
        <is>
          <t>THILF0</t>
        </is>
      </c>
      <c r="R9" s="145" t="n"/>
    </row>
    <row r="10" ht="21.6" customHeight="1" s="105">
      <c r="A10" s="147" t="n">
        <v>4983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45810</v>
      </c>
      <c r="L10" s="147">
        <f>VLOOKUP(A10,'0919門市清單主檔'!B:V,21,FALSE)</f>
        <v/>
      </c>
      <c r="Q10" s="145" t="inlineStr">
        <is>
          <t>THILF0</t>
        </is>
      </c>
      <c r="R10" s="145" t="n"/>
    </row>
    <row r="11" ht="21.6" customHeight="1" s="105">
      <c r="A11" s="147" t="n">
        <v>3183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45810</v>
      </c>
      <c r="L11" s="147">
        <f>VLOOKUP(A11,'0919門市清單主檔'!B:V,21,FALSE)</f>
        <v/>
      </c>
      <c r="Q11" s="145" t="inlineStr">
        <is>
          <t>THILF0</t>
        </is>
      </c>
      <c r="R11" s="145" t="n"/>
    </row>
    <row r="12" ht="21.6" customHeight="1" s="105">
      <c r="A12" s="147" t="n">
        <v>2154</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45769</v>
      </c>
      <c r="L12" s="147">
        <f>VLOOKUP(A12,'0919門市清單主檔'!B:V,21,FALSE)</f>
        <v/>
      </c>
      <c r="Q12" s="145" t="inlineStr">
        <is>
          <t>THILF0</t>
        </is>
      </c>
      <c r="R12" s="145" t="n"/>
    </row>
    <row r="13" ht="21.6" customHeight="1" s="105">
      <c r="A13" s="147" t="n">
        <v>2995</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45765</v>
      </c>
      <c r="L13" s="147">
        <f>VLOOKUP(A13,'0919門市清單主檔'!B:V,21,FALSE)</f>
        <v/>
      </c>
      <c r="Q13" s="145" t="inlineStr">
        <is>
          <t>THILF0</t>
        </is>
      </c>
      <c r="R13" s="145" t="n"/>
    </row>
    <row r="14" ht="21.6" customHeight="1" s="105">
      <c r="A14" s="147" t="n">
        <v>3147</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45748</v>
      </c>
      <c r="L14" s="147">
        <f>VLOOKUP(A14,'0919門市清單主檔'!B:V,21,FALSE)</f>
        <v/>
      </c>
      <c r="Q14" s="145" t="inlineStr">
        <is>
          <t>THILF0</t>
        </is>
      </c>
      <c r="R14" s="145" t="n"/>
    </row>
    <row r="15" ht="21.6" customHeight="1" s="105">
      <c r="A15" s="147" t="inlineStr">
        <is>
          <t>D072</t>
        </is>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45749</v>
      </c>
      <c r="L15" s="147">
        <f>VLOOKUP(A15,'0919門市清單主檔'!B:V,21,FALSE)</f>
        <v/>
      </c>
      <c r="Q15" s="145" t="inlineStr">
        <is>
          <t>THILF0</t>
        </is>
      </c>
      <c r="R15" s="145" t="n"/>
    </row>
    <row r="16" ht="21.6" customHeight="1" s="105">
      <c r="A16" s="147" t="n">
        <v>2224</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45831</v>
      </c>
      <c r="L16" s="147">
        <f>VLOOKUP(A16,'0919門市清單主檔'!B:V,21,FALSE)</f>
        <v/>
      </c>
      <c r="Q16" s="145" t="inlineStr">
        <is>
          <t>THILF0</t>
        </is>
      </c>
      <c r="R16" s="145" t="n"/>
    </row>
    <row r="17" ht="21.6" customHeight="1" s="105">
      <c r="A17" s="147" t="n">
        <v>2069</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45833</v>
      </c>
      <c r="L17" s="147">
        <f>VLOOKUP(A17,'0919門市清單主檔'!B:V,21,FALSE)</f>
        <v/>
      </c>
      <c r="Q17" s="145" t="inlineStr">
        <is>
          <t>THILF0</t>
        </is>
      </c>
      <c r="R17" s="145" t="n"/>
    </row>
    <row r="18" ht="21.6" customHeight="1" s="105">
      <c r="A18" s="147" t="n">
        <v>3399</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45834</v>
      </c>
      <c r="L18" s="147">
        <f>VLOOKUP(A18,'0919門市清單主檔'!B:V,21,FALSE)</f>
        <v/>
      </c>
      <c r="Q18" s="145" t="inlineStr">
        <is>
          <t>THILF0</t>
        </is>
      </c>
      <c r="R18" s="145" t="n"/>
    </row>
    <row r="19" ht="21.6" customHeight="1" s="105">
      <c r="A19" s="147" t="n">
        <v>2746</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inlineStr">
        <is>
          <t>THILF0</t>
        </is>
      </c>
      <c r="R19" s="145" t="n"/>
    </row>
    <row r="20" ht="21.6" customHeight="1" s="105">
      <c r="A20" s="147" t="inlineStr">
        <is>
          <t>D767</t>
        </is>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45797</v>
      </c>
      <c r="L20" s="147">
        <f>VLOOKUP(A20,'0919門市清單主檔'!B:V,21,FALSE)</f>
        <v/>
      </c>
      <c r="Q20" s="145" t="inlineStr">
        <is>
          <t>THILF0</t>
        </is>
      </c>
      <c r="R20" s="145" t="n"/>
    </row>
    <row r="21" ht="21.6" customHeight="1" s="105">
      <c r="A21" s="147" t="n">
        <v>2221</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45749</v>
      </c>
      <c r="L21" s="147">
        <f>VLOOKUP(A21,'0919門市清單主檔'!B:V,21,FALSE)</f>
        <v/>
      </c>
      <c r="Q21" s="145" t="inlineStr">
        <is>
          <t>THILF0</t>
        </is>
      </c>
      <c r="R21" s="145" t="n"/>
    </row>
    <row r="22" ht="21.6" customHeight="1" s="105">
      <c r="A22" s="147" t="inlineStr">
        <is>
          <t>D161</t>
        </is>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45838</v>
      </c>
      <c r="L22" s="147">
        <f>VLOOKUP(A22,'0919門市清單主檔'!B:V,21,FALSE)</f>
        <v/>
      </c>
      <c r="Q22" s="145" t="inlineStr">
        <is>
          <t>THILF0</t>
        </is>
      </c>
      <c r="R22" s="145" t="n"/>
    </row>
    <row r="23" ht="21.6" customHeight="1" s="105">
      <c r="A23" s="147" t="n">
        <v>4422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45819</v>
      </c>
      <c r="L23" s="147">
        <f>VLOOKUP(A23,'0919門市清單主檔'!B:V,21,FALSE)</f>
        <v/>
      </c>
      <c r="Q23" s="145" t="inlineStr">
        <is>
          <t>THILF0</t>
        </is>
      </c>
      <c r="R23" s="145" t="n"/>
    </row>
    <row r="24" ht="21.6" customHeight="1" s="105">
      <c r="A24" s="147" t="inlineStr">
        <is>
          <t>D609</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45819</v>
      </c>
      <c r="L24" s="147">
        <f>VLOOKUP(A24,'0919門市清單主檔'!B:V,21,FALSE)</f>
        <v/>
      </c>
      <c r="Q24" s="145" t="inlineStr">
        <is>
          <t>THILF0</t>
        </is>
      </c>
      <c r="R24" s="145" t="n"/>
    </row>
    <row r="25" ht="21.6" customHeight="1" s="105">
      <c r="A25" s="147" t="n">
        <v>2403</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45779</v>
      </c>
      <c r="L25" s="147">
        <f>VLOOKUP(A25,'0919門市清單主檔'!B:V,21,FALSE)</f>
        <v/>
      </c>
      <c r="Q25" s="145" t="inlineStr">
        <is>
          <t>THILF0</t>
        </is>
      </c>
      <c r="R25" s="145" t="n"/>
    </row>
    <row r="26" ht="21.6" customHeight="1" s="105">
      <c r="A26" s="147" t="n">
        <v>3752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45758</v>
      </c>
      <c r="L26" s="147">
        <f>VLOOKUP(A26,'0919門市清單主檔'!B:V,21,FALSE)</f>
        <v/>
      </c>
      <c r="Q26" s="145" t="inlineStr">
        <is>
          <t>THILF0</t>
        </is>
      </c>
      <c r="R26" s="145" t="n"/>
    </row>
    <row r="27" ht="21.6" customHeight="1" s="105">
      <c r="A27" s="147" t="n">
        <v>3818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45748</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L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6" min="1" max="1"/>
    <col width="11.3984375" bestFit="1" customWidth="1" style="336" min="2" max="2"/>
    <col width="8.59765625" bestFit="1" customWidth="1" style="336" min="3" max="3"/>
    <col width="8" customWidth="1" style="336" min="4" max="17"/>
    <col width="2.796875" customWidth="1" style="336" min="18" max="18"/>
    <col width="11.3984375" bestFit="1" customWidth="1" style="336" min="19" max="19"/>
    <col width="8.796875" customWidth="1" style="337" min="20" max="20"/>
    <col width="11.3984375" bestFit="1" customWidth="1" style="336" min="21" max="21"/>
    <col width="10.8984375" customWidth="1" style="336" min="22" max="22"/>
    <col width="11.3984375" bestFit="1" customWidth="1" style="336" min="23" max="33"/>
    <col width="8.796875" customWidth="1" style="336" min="34" max="152"/>
    <col width="8.796875" customWidth="1" style="336" min="153" max="16384"/>
  </cols>
  <sheetData>
    <row r="1" ht="14.4" customHeight="1" s="105">
      <c r="A1" s="334" t="inlineStr">
        <is>
          <t>統計起</t>
        </is>
      </c>
      <c r="B1" s="334" t="inlineStr">
        <is>
          <t>統計訖</t>
        </is>
      </c>
      <c r="C1" s="335" t="inlineStr">
        <is>
          <t>狄澤洋</t>
        </is>
      </c>
      <c r="D1" s="335" t="inlineStr">
        <is>
          <t>湯家瑋</t>
        </is>
      </c>
      <c r="E1" s="335" t="inlineStr">
        <is>
          <t>吳宗鴻</t>
        </is>
      </c>
      <c r="G1" s="336" t="n">
        <v>8</v>
      </c>
      <c r="H1" s="336" t="n">
        <v>9</v>
      </c>
      <c r="I1" s="336" t="n">
        <v>10</v>
      </c>
      <c r="J1" s="336" t="n">
        <v>11</v>
      </c>
      <c r="K1" s="336" t="n">
        <v>12</v>
      </c>
      <c r="L1" s="336" t="n">
        <v>13</v>
      </c>
      <c r="M1" s="336" t="n">
        <v>14</v>
      </c>
      <c r="N1" s="336" t="n">
        <v>15</v>
      </c>
      <c r="O1" s="336" t="n">
        <v>16</v>
      </c>
      <c r="P1" s="336" t="n">
        <v>17</v>
      </c>
      <c r="Q1" s="336" t="n">
        <v>18</v>
      </c>
      <c r="R1" s="336" t="n">
        <v>19</v>
      </c>
      <c r="S1" s="336" t="n">
        <v>20</v>
      </c>
      <c r="T1" s="336" t="n">
        <v>21</v>
      </c>
      <c r="U1" s="336" t="n">
        <v>22</v>
      </c>
    </row>
    <row r="2" ht="14.4" customHeight="1" s="105">
      <c r="A2" s="363">
        <f>DATE(YEAR(S2), MONTH(S2), 1)</f>
        <v/>
      </c>
      <c r="B2" s="363">
        <f>EOMONTH(S2, 0)</f>
        <v/>
      </c>
      <c r="C2" s="337">
        <f>Q5+Q9</f>
        <v/>
      </c>
      <c r="D2" s="337">
        <f>Q6+Q10</f>
        <v/>
      </c>
      <c r="E2" s="337">
        <f>Q7+Q11</f>
        <v/>
      </c>
      <c r="G2" s="387" t="n"/>
      <c r="S2" s="387">
        <f>TODAY()</f>
        <v/>
      </c>
    </row>
    <row r="3" ht="14.4" customHeight="1" s="105">
      <c r="A3" s="338" t="n"/>
      <c r="B3" s="339" t="n"/>
      <c r="C3" s="337" t="n"/>
      <c r="D3" s="337" t="n"/>
      <c r="E3" s="337" t="n"/>
    </row>
    <row r="4" ht="14.4" customHeight="1" s="105">
      <c r="A4" s="340" t="inlineStr">
        <is>
          <t>POS</t>
        </is>
      </c>
      <c r="B4" s="341" t="inlineStr">
        <is>
          <t>08:00</t>
        </is>
      </c>
      <c r="C4" s="341" t="inlineStr">
        <is>
          <t>09:00</t>
        </is>
      </c>
      <c r="D4" s="341" t="inlineStr">
        <is>
          <t>10:00</t>
        </is>
      </c>
      <c r="E4" s="341" t="inlineStr">
        <is>
          <t>11:00</t>
        </is>
      </c>
      <c r="F4" s="341" t="inlineStr">
        <is>
          <t>12:00</t>
        </is>
      </c>
      <c r="G4" s="341" t="inlineStr">
        <is>
          <t>13:00</t>
        </is>
      </c>
      <c r="H4" s="341" t="inlineStr">
        <is>
          <t>14:00</t>
        </is>
      </c>
      <c r="I4" s="341" t="inlineStr">
        <is>
          <t>15:00</t>
        </is>
      </c>
      <c r="J4" s="341" t="inlineStr">
        <is>
          <t>16:00</t>
        </is>
      </c>
      <c r="K4" s="341" t="inlineStr">
        <is>
          <t>17:00</t>
        </is>
      </c>
      <c r="L4" s="341" t="inlineStr">
        <is>
          <t>18:00</t>
        </is>
      </c>
      <c r="M4" s="341" t="inlineStr">
        <is>
          <t>19:00</t>
        </is>
      </c>
      <c r="N4" s="341" t="inlineStr">
        <is>
          <t>20:00</t>
        </is>
      </c>
      <c r="O4" s="341" t="inlineStr">
        <is>
          <t>21:00</t>
        </is>
      </c>
      <c r="P4" s="341" t="inlineStr">
        <is>
          <t>22:00</t>
        </is>
      </c>
      <c r="Q4" s="342" t="inlineStr">
        <is>
          <t>小計</t>
        </is>
      </c>
      <c r="S4" s="343" t="inlineStr">
        <is>
          <t>區域別</t>
        </is>
      </c>
      <c r="T4" s="344" t="inlineStr">
        <is>
          <t>店數</t>
        </is>
      </c>
      <c r="U4" s="344" t="inlineStr">
        <is>
          <t>報修次數</t>
        </is>
      </c>
      <c r="V4" s="344" t="inlineStr">
        <is>
          <t>報修率</t>
        </is>
      </c>
    </row>
    <row r="5" ht="14.4" customFormat="1" customHeight="1" s="337">
      <c r="A5" s="337" t="inlineStr">
        <is>
          <t>狄澤洋</t>
        </is>
      </c>
      <c r="B5" s="337">
        <f t="array" ref="B5">SUMPRODUCT(
  --(IM!$S$2:$S$10000=$A$5),
  --(MOD(IM!$W$2:$W$10000,1)&gt;=TIME(G1,0,0)),
  --(MOD(IM!$W$2:$W$10000,1)&lt;TIME(H1,0,0)),
  --(INT(IM!$W$2:$W$10000)&gt;=$A$2),
  --(INT(IM!$W$2:$W$10000)&lt;=$B$2)
)</f>
        <v/>
      </c>
      <c r="C5" s="337">
        <f t="array" ref="C5">SUMPRODUCT(
  --(IM!$S$2:$S$10000=$A$5),
  --(MOD(IM!$W$2:$W$10000,1)&gt;=TIME(H1,0,0)),
  --(MOD(IM!$W$2:$W$10000,1)&lt;TIME(I1,0,0)),
  --(INT(IM!$W$2:$W$10000)&gt;=$A$2),
  --(INT(IM!$W$2:$W$10000)&lt;=$B$2)
)</f>
        <v/>
      </c>
      <c r="D5" s="337">
        <f t="array" ref="D5">SUMPRODUCT(
  --(IM!$S$2:$S$10000=$A$5),
  --(MOD(IM!$W$2:$W$10000,1)&gt;=TIME(I1,0,0)),
  --(MOD(IM!$W$2:$W$10000,1)&lt;TIME(J1,0,0)),
  --(INT(IM!$W$2:$W$10000)&gt;=$A$2),
  --(INT(IM!$W$2:$W$10000)&lt;=$B$2)
)</f>
        <v/>
      </c>
      <c r="E5" s="337">
        <f t="array" ref="E5">SUMPRODUCT(
  --(IM!$S$2:$S$10000=$A$5),
  --(MOD(IM!$W$2:$W$10000,1)&gt;=TIME(J1,0,0)),
  --(MOD(IM!$W$2:$W$10000,1)&lt;TIME(K1,0,0)),
  --(INT(IM!$W$2:$W$10000)&gt;=$A$2),
  --(INT(IM!$W$2:$W$10000)&lt;=$B$2)
)</f>
        <v/>
      </c>
      <c r="F5" s="337">
        <f t="array" ref="F5">SUMPRODUCT(
  --(IM!$S$2:$S$10000=$A$5),
  --(MOD(IM!$W$2:$W$10000,1)&gt;=TIME(K1,0,0)),
  --(MOD(IM!$W$2:$W$10000,1)&lt;TIME(L1,0,0)),
  --(INT(IM!$W$2:$W$10000)&gt;=$A$2),
  --(INT(IM!$W$2:$W$10000)&lt;=$B$2)
)</f>
        <v/>
      </c>
      <c r="G5" s="337">
        <f t="array" ref="G5">SUMPRODUCT(
  --(IM!$S$2:$S$10000=$A$5),
  --(MOD(IM!$W$2:$W$10000,1)&gt;=TIME(L1,0,0)),
  --(MOD(IM!$W$2:$W$10000,1)&lt;TIME(M1,0,0)),
  --(INT(IM!$W$2:$W$10000)&gt;=$A$2),
  --(INT(IM!$W$2:$W$10000)&lt;=$B$2)
)</f>
        <v/>
      </c>
      <c r="H5" s="337">
        <f t="array" ref="H5">SUMPRODUCT(
  --(IM!$S$2:$S$10000=$A$5),
  --(MOD(IM!$W$2:$W$10000,1)&gt;=TIME(M1,0,0)),
  --(MOD(IM!$W$2:$W$10000,1)&lt;TIME(N1,0,0)),
  --(INT(IM!$W$2:$W$10000)&gt;=$A$2),
  --(INT(IM!$W$2:$W$10000)&lt;=$B$2)
)</f>
        <v/>
      </c>
      <c r="I5" s="337">
        <f t="array" ref="I5">SUMPRODUCT(
  --(IM!$S$2:$S$10000=$A$5),
  --(MOD(IM!$W$2:$W$10000,1)&gt;=TIME(N1,0,0)),
  --(MOD(IM!$W$2:$W$10000,1)&lt;TIME(O1,0,0)),
  --(INT(IM!$W$2:$W$10000)&gt;=$A$2),
  --(INT(IM!$W$2:$W$10000)&lt;=$B$2)
)</f>
        <v/>
      </c>
      <c r="J5" s="337">
        <f t="array" ref="J5">SUMPRODUCT(
  --(IM!$S$2:$S$10000=$A$5),
  --(MOD(IM!$W$2:$W$10000,1)&gt;=TIME(O1,0,0)),
  --(MOD(IM!$W$2:$W$10000,1)&lt;TIME(P1,0,0)),
  --(INT(IM!$W$2:$W$10000)&gt;=$A$2),
  --(INT(IM!$W$2:$W$10000)&lt;=$B$2)
)</f>
        <v/>
      </c>
      <c r="K5" s="337">
        <f t="array" ref="K5">SUMPRODUCT(
  --(IM!$S$2:$S$10000=$A$5),
  --(MOD(IM!$W$2:$W$10000,1)&gt;=TIME(P1,0,0)),
  --(MOD(IM!$W$2:$W$10000,1)&lt;TIME(Q1,0,0)),
  --(INT(IM!$W$2:$W$10000)&gt;=$A$2),
  --(INT(IM!$W$2:$W$10000)&lt;=$B$2)
)</f>
        <v/>
      </c>
      <c r="L5" s="337">
        <f t="array" ref="L5">SUMPRODUCT(
  --(IM!$S$2:$S$10000=$A$5),
  --(MOD(IM!$W$2:$W$10000,1)&gt;=TIME(Q1,0,0)),
  --(MOD(IM!$W$2:$W$10000,1)&lt;TIME(R1,0,0)),
  --(INT(IM!$W$2:$W$10000)&gt;=$A$2),
  --(INT(IM!$W$2:$W$10000)&lt;=$B$2)
)</f>
        <v/>
      </c>
      <c r="M5" s="337">
        <f t="array" ref="M5">SUMPRODUCT(
  --(IM!$S$2:$S$10000=$A$5),
  --(MOD(IM!$W$2:$W$10000,1)&gt;=TIME(R1,0,0)),
  --(MOD(IM!$W$2:$W$10000,1)&lt;TIME(S1,0,0)),
  --(INT(IM!$W$2:$W$10000)&gt;=$A$2),
  --(INT(IM!$W$2:$W$10000)&lt;=$B$2)
)</f>
        <v/>
      </c>
      <c r="N5" s="337">
        <f t="array" ref="N5">SUMPRODUCT(
  --(IM!$S$2:$S$10000=$A$5),
  --(MOD(IM!$W$2:$W$10000,1)&gt;=TIME(S1,0,0)),
  --(MOD(IM!$W$2:$W$10000,1)&lt;TIME(T1,0,0)),
  --(INT(IM!$W$2:$W$10000)&gt;=$A$2),
  --(INT(IM!$W$2:$W$10000)&lt;=$B$2)
)</f>
        <v/>
      </c>
      <c r="O5" s="337">
        <f t="array" ref="O5">SUMPRODUCT(
  --(IM!$S$2:$S$10000=$A$5),
  --(MOD(IM!$W$2:$W$10000,1)&gt;=TIME(T1,0,0)),
  --(MOD(IM!$W$2:$W$10000,1)&lt;TIME(U1,0,0)),
  --(INT(IM!$W$2:$W$10000)&gt;=$A$2),
  --(INT(IM!$W$2:$W$10000)&lt;=$B$2)
)</f>
        <v/>
      </c>
      <c r="P5" s="337">
        <f t="array" ref="P5">SUMPRODUCT(
  --(IM!$S$2:$S$10000=$A$5),
  --(MOD(IM!$W$2:$W$10000,1)&gt;=TIME(U1,0,0)),
  --(MOD(IM!$W$2:$W$10000,1)&lt;TIME(V1,0,0)),
  --(INT(IM!$W$2:$W$10000)&gt;=$A$2),
  --(INT(IM!$W$2:$W$10000)&lt;=$B$2)
)</f>
        <v/>
      </c>
      <c r="Q5" s="337">
        <f>SUM(B5:P5)</f>
        <v/>
      </c>
      <c r="S5" s="345" t="inlineStr">
        <is>
          <t>板橋區</t>
        </is>
      </c>
      <c r="V5" s="346" t="n"/>
    </row>
    <row r="6" ht="14.4" customHeight="1" s="105">
      <c r="A6" s="337" t="inlineStr">
        <is>
          <t>湯家瑋</t>
        </is>
      </c>
      <c r="B6" s="337">
        <f t="array" ref="B6">SUMPRODUCT(
  --(IM!$S$2:$S$10000=$A$6),
  --(MOD(IM!$W$2:$W$10000,1)&gt;=TIME(G1,0,0)),
  --(MOD(IM!$W$2:$W$10000,1)&lt;TIME(H1,0,0)),
  --(INT(IM!$W$2:$W$10000)&gt;=$A$2),
  --(INT(IM!$W$2:$W$10000)&lt;=$B$2)
)</f>
        <v/>
      </c>
      <c r="C6" s="337">
        <f t="array" ref="C6">SUMPRODUCT(
  --(IM!$S$2:$S$10000=$A$6),
  --(MOD(IM!$W$2:$W$10000,1)&gt;=TIME(H1,0,0)),
  --(MOD(IM!$W$2:$W$10000,1)&lt;TIME(I1,0,0)),
  --(INT(IM!$W$2:$W$10000)&gt;=$A$2),
  --(INT(IM!$W$2:$W$10000)&lt;=$B$2)
)</f>
        <v/>
      </c>
      <c r="D6" s="337">
        <f t="array" ref="D6">SUMPRODUCT(
  --(IM!$S$2:$S$10000=$A$6),
  --(MOD(IM!$W$2:$W$10000,1)&gt;=TIME(I1,0,0)),
  --(MOD(IM!$W$2:$W$10000,1)&lt;TIME(J1,0,0)),
  --(INT(IM!$W$2:$W$10000)&gt;=$A$2),
  --(INT(IM!$W$2:$W$10000)&lt;=$B$2)
)</f>
        <v/>
      </c>
      <c r="E6" s="337">
        <f t="array" ref="E6">SUMPRODUCT(
  --(IM!$S$2:$S$10000=$A$6),
  --(MOD(IM!$W$2:$W$10000,1)&gt;=TIME(J1,0,0)),
  --(MOD(IM!$W$2:$W$10000,1)&lt;TIME(K1,0,0)),
  --(INT(IM!$W$2:$W$10000)&gt;=$A$2),
  --(INT(IM!$W$2:$W$10000)&lt;=$B$2)
)</f>
        <v/>
      </c>
      <c r="F6" s="337">
        <f t="array" ref="F6">SUMPRODUCT(
  --(IM!$S$2:$S$10000=$A$6),
  --(MOD(IM!$W$2:$W$10000,1)&gt;=TIME(K1,0,0)),
  --(MOD(IM!$W$2:$W$10000,1)&lt;TIME(L1,0,0)),
  --(INT(IM!$W$2:$W$10000)&gt;=$A$2),
  --(INT(IM!$W$2:$W$10000)&lt;=$B$2)
)</f>
        <v/>
      </c>
      <c r="G6" s="337">
        <f t="array" ref="G6">SUMPRODUCT(
  --(IM!$S$2:$S$10000=$A$6),
  --(MOD(IM!$W$2:$W$10000,1)&gt;=TIME(L1,0,0)),
  --(MOD(IM!$W$2:$W$10000,1)&lt;TIME(M1,0,0)),
  --(INT(IM!$W$2:$W$10000)&gt;=$A$2),
  --(INT(IM!$W$2:$W$10000)&lt;=$B$2)
)</f>
        <v/>
      </c>
      <c r="H6" s="337">
        <f t="array" ref="H6">SUMPRODUCT(
  --(IM!$S$2:$S$10000=$A$6),
  --(MOD(IM!$W$2:$W$10000,1)&gt;=TIME(M1,0,0)),
  --(MOD(IM!$W$2:$W$10000,1)&lt;TIME(N1,0,0)),
  --(INT(IM!$W$2:$W$10000)&gt;=$A$2),
  --(INT(IM!$W$2:$W$10000)&lt;=$B$2)
)</f>
        <v/>
      </c>
      <c r="I6" s="337">
        <f t="array" ref="I6">SUMPRODUCT(
  --(IM!$S$2:$S$10000=$A$6),
  --(MOD(IM!$W$2:$W$10000,1)&gt;=TIME(N1,0,0)),
  --(MOD(IM!$W$2:$W$10000,1)&lt;TIME(O1,0,0)),
  --(INT(IM!$W$2:$W$10000)&gt;=$A$2),
  --(INT(IM!$W$2:$W$10000)&lt;=$B$2)
)</f>
        <v/>
      </c>
      <c r="J6" s="337">
        <f t="array" ref="J6">SUMPRODUCT(
  --(IM!$S$2:$S$10000=$A$6),
  --(MOD(IM!$W$2:$W$10000,1)&gt;=TIME(O1,0,0)),
  --(MOD(IM!$W$2:$W$10000,1)&lt;TIME(P1,0,0)),
  --(INT(IM!$W$2:$W$10000)&gt;=$A$2),
  --(INT(IM!$W$2:$W$10000)&lt;=$B$2)
)</f>
        <v/>
      </c>
      <c r="K6" s="337">
        <f t="array" ref="K6">SUMPRODUCT(
  --(IM!$S$2:$S$10000=$A$6),
  --(MOD(IM!$W$2:$W$10000,1)&gt;=TIME(P1,0,0)),
  --(MOD(IM!$W$2:$W$10000,1)&lt;TIME(Q1,0,0)),
  --(INT(IM!$W$2:$W$10000)&gt;=$A$2),
  --(INT(IM!$W$2:$W$10000)&lt;=$B$2)
)</f>
        <v/>
      </c>
      <c r="L6" s="337">
        <f t="array" ref="L6">SUMPRODUCT(
  --(IM!$S$2:$S$10000=$A$6),
  --(MOD(IM!$W$2:$W$10000,1)&gt;=TIME(Q1,0,0)),
  --(MOD(IM!$W$2:$W$10000,1)&lt;TIME(R1,0,0)),
  --(INT(IM!$W$2:$W$10000)&gt;=$A$2),
  --(INT(IM!$W$2:$W$10000)&lt;=$B$2)
)</f>
        <v/>
      </c>
      <c r="M6" s="337">
        <f t="array" ref="M6">SUMPRODUCT(
  --(IM!$S$2:$S$10000=$A$6),
  --(MOD(IM!$W$2:$W$10000,1)&gt;=TIME(R1,0,0)),
  --(MOD(IM!$W$2:$W$10000,1)&lt;TIME(S1,0,0)),
  --(INT(IM!$W$2:$W$10000)&gt;=$A$2),
  --(INT(IM!$W$2:$W$10000)&lt;=$B$2)
)</f>
        <v/>
      </c>
      <c r="N6" s="337">
        <f t="array" ref="N6">SUMPRODUCT(
  --(IM!$S$2:$S$10000=$A$6),
  --(MOD(IM!$W$2:$W$10000,1)&gt;=TIME(S1,0,0)),
  --(MOD(IM!$W$2:$W$10000,1)&lt;TIME(T1,0,0)),
  --(INT(IM!$W$2:$W$10000)&gt;=$A$2),
  --(INT(IM!$W$2:$W$10000)&lt;=$B$2)
)</f>
        <v/>
      </c>
      <c r="O6" s="337">
        <f t="array" ref="O6">SUMPRODUCT(
  --(IM!$S$2:$S$10000=$A$6),
  --(MOD(IM!$W$2:$W$10000,1)&gt;=TIME(T1,0,0)),
  --(MOD(IM!$W$2:$W$10000,1)&lt;TIME(U1,0,0)),
  --(INT(IM!$W$2:$W$10000)&gt;=$A$2),
  --(INT(IM!$W$2:$W$10000)&lt;=$B$2)
)</f>
        <v/>
      </c>
      <c r="P6" s="337">
        <f t="array" ref="P6">SUMPRODUCT(
  --(IM!$S$2:$S$10000=$A$6),
  --(MOD(IM!$W$2:$W$10000,1)&gt;=TIME(U1,0,0)),
  --(MOD(IM!$W$2:$W$10000,1)&lt;TIME(V1,0,0)),
  --(INT(IM!$W$2:$W$10000)&gt;=$A$2),
  --(INT(IM!$W$2:$W$10000)&lt;=$B$2)
)</f>
        <v/>
      </c>
      <c r="Q6" s="337">
        <f>SUM(B6:P6)</f>
        <v/>
      </c>
      <c r="S6" s="345" t="inlineStr">
        <is>
          <t>三重區</t>
        </is>
      </c>
      <c r="U6" s="337" t="n"/>
      <c r="V6" s="346" t="n"/>
    </row>
    <row r="7" ht="14.4" customHeight="1" s="105">
      <c r="A7" s="337" t="inlineStr">
        <is>
          <t>吳宗鴻</t>
        </is>
      </c>
      <c r="B7" s="337">
        <f t="array" ref="B7">SUMPRODUCT(
  --(IM!$S$2:$S$10000=$A$7),
  --(MOD(IM!$W$2:$W$10000,1)&gt;=TIME(G1,0,0)),
  --(MOD(IM!$W$2:$W$10000,1)&lt;TIME(H1,0,0)),
  --(INT(IM!$W$2:$W$10000)&gt;=$A$2),
  --(INT(IM!$W$2:$W$10000)&lt;=$B$2)
)</f>
        <v/>
      </c>
      <c r="C7" s="337">
        <f t="array" ref="C7">SUMPRODUCT(
  --(IM!$S$2:$S$10000=$A$7),
  --(MOD(IM!$W$2:$W$10000,1)&gt;=TIME(H1,0,0)),
  --(MOD(IM!$W$2:$W$10000,1)&lt;TIME(I1,0,0)),
  --(INT(IM!$W$2:$W$10000)&gt;=$A$2),
  --(INT(IM!$W$2:$W$10000)&lt;=$B$2)
)</f>
        <v/>
      </c>
      <c r="D7" s="337">
        <f t="array" ref="D7">SUMPRODUCT(
  --(IM!$S$2:$S$10000=$A$7),
  --(MOD(IM!$W$2:$W$10000,1)&gt;=TIME(I1,0,0)),
  --(MOD(IM!$W$2:$W$10000,1)&lt;TIME(J1,0,0)),
  --(INT(IM!$W$2:$W$10000)&gt;=$A$2),
  --(INT(IM!$W$2:$W$10000)&lt;=$B$2)
)</f>
        <v/>
      </c>
      <c r="E7" s="337">
        <f t="array" ref="E7">SUMPRODUCT(
  --(IM!$S$2:$S$10000=$A$7),
  --(MOD(IM!$W$2:$W$10000,1)&gt;=TIME(J1,0,0)),
  --(MOD(IM!$W$2:$W$10000,1)&lt;TIME(K1,0,0)),
  --(INT(IM!$W$2:$W$10000)&gt;=$A$2),
  --(INT(IM!$W$2:$W$10000)&lt;=$B$2)
)</f>
        <v/>
      </c>
      <c r="F7" s="337">
        <f t="array" ref="F7">SUMPRODUCT(
  --(IM!$S$2:$S$10000=$A$7),
  --(MOD(IM!$W$2:$W$10000,1)&gt;=TIME(K1,0,0)),
  --(MOD(IM!$W$2:$W$10000,1)&lt;TIME(L1,0,0)),
  --(INT(IM!$W$2:$W$10000)&gt;=$A$2),
  --(INT(IM!$W$2:$W$10000)&lt;=$B$2)
)</f>
        <v/>
      </c>
      <c r="G7" s="337">
        <f t="array" ref="G7">SUMPRODUCT(
  --(IM!$S$2:$S$10000=$A$7),
  --(MOD(IM!$W$2:$W$10000,1)&gt;=TIME(L1,0,0)),
  --(MOD(IM!$W$2:$W$10000,1)&lt;TIME(M1,0,0)),
  --(INT(IM!$W$2:$W$10000)&gt;=$A$2),
  --(INT(IM!$W$2:$W$10000)&lt;=$B$2)
)</f>
        <v/>
      </c>
      <c r="H7" s="337">
        <f t="array" ref="H7">SUMPRODUCT(
  --(IM!$S$2:$S$10000=$A$7),
  --(MOD(IM!$W$2:$W$10000,1)&gt;=TIME(M1,0,0)),
  --(MOD(IM!$W$2:$W$10000,1)&lt;TIME(N1,0,0)),
  --(INT(IM!$W$2:$W$10000)&gt;=$A$2),
  --(INT(IM!$W$2:$W$10000)&lt;=$B$2)
)</f>
        <v/>
      </c>
      <c r="I7" s="337">
        <f t="array" ref="I7">SUMPRODUCT(
  --(IM!$S$2:$S$10000=$A$7),
  --(MOD(IM!$W$2:$W$10000,1)&gt;=TIME(N1,0,0)),
  --(MOD(IM!$W$2:$W$10000,1)&lt;TIME(O1,0,0)),
  --(INT(IM!$W$2:$W$10000)&gt;=$A$2),
  --(INT(IM!$W$2:$W$10000)&lt;=$B$2)
)</f>
        <v/>
      </c>
      <c r="J7" s="337">
        <f t="array" ref="J7">SUMPRODUCT(
  --(IM!$S$2:$S$10000=$A$7),
  --(MOD(IM!$W$2:$W$10000,1)&gt;=TIME(O1,0,0)),
  --(MOD(IM!$W$2:$W$10000,1)&lt;TIME(P1,0,0)),
  --(INT(IM!$W$2:$W$10000)&gt;=$A$2),
  --(INT(IM!$W$2:$W$10000)&lt;=$B$2)
)</f>
        <v/>
      </c>
      <c r="K7" s="337">
        <f t="array" ref="K7">SUMPRODUCT(
  --(IM!$S$2:$S$10000=$A$7),
  --(MOD(IM!$W$2:$W$10000,1)&gt;=TIME(P1,0,0)),
  --(MOD(IM!$W$2:$W$10000,1)&lt;TIME(Q1,0,0)),
  --(INT(IM!$W$2:$W$10000)&gt;=$A$2),
  --(INT(IM!$W$2:$W$10000)&lt;=$B$2)
)</f>
        <v/>
      </c>
      <c r="L7" s="337">
        <f t="array" ref="L7">SUMPRODUCT(
  --(IM!$S$2:$S$10000=$A$7),
  --(MOD(IM!$W$2:$W$10000,1)&gt;=TIME(Q1,0,0)),
  --(MOD(IM!$W$2:$W$10000,1)&lt;TIME(R1,0,0)),
  --(INT(IM!$W$2:$W$10000)&gt;=$A$2),
  --(INT(IM!$W$2:$W$10000)&lt;=$B$2)
)</f>
        <v/>
      </c>
      <c r="M7" s="337">
        <f t="array" ref="M7">SUMPRODUCT(
  --(IM!$S$2:$S$10000=$A$7),
  --(MOD(IM!$W$2:$W$10000,1)&gt;=TIME(R1,0,0)),
  --(MOD(IM!$W$2:$W$10000,1)&lt;TIME(S1,0,0)),
  --(INT(IM!$W$2:$W$10000)&gt;=$A$2),
  --(INT(IM!$W$2:$W$10000)&lt;=$B$2)
)</f>
        <v/>
      </c>
      <c r="N7" s="337">
        <f t="array" ref="N7">SUMPRODUCT(
  --(IM!$S$2:$S$10000=$A$7),
  --(MOD(IM!$W$2:$W$10000,1)&gt;=TIME(S1,0,0)),
  --(MOD(IM!$W$2:$W$10000,1)&lt;TIME(T1,0,0)),
  --(INT(IM!$W$2:$W$10000)&gt;=$A$2),
  --(INT(IM!$W$2:$W$10000)&lt;=$B$2)
)</f>
        <v/>
      </c>
      <c r="O7" s="337">
        <f t="array" ref="O7">SUMPRODUCT(
  --(IM!$S$2:$S$10000=$A$7),
  --(MOD(IM!$W$2:$W$10000,1)&gt;=TIME(T1,0,0)),
  --(MOD(IM!$W$2:$W$10000,1)&lt;TIME(U1,0,0)),
  --(INT(IM!$W$2:$W$10000)&gt;=$A$2),
  --(INT(IM!$W$2:$W$10000)&lt;=$B$2)
)</f>
        <v/>
      </c>
      <c r="P7" s="337">
        <f t="array" ref="P7">SUMPRODUCT(
  --(IM!$S$2:$S$10000=$A$7),
  --(MOD(IM!$W$2:$W$10000,1)&gt;=TIME(U1,0,0)),
  --(MOD(IM!$W$2:$W$10000,1)&lt;TIME(V1,0,0)),
  --(INT(IM!$W$2:$W$10000)&gt;=$A$2),
  --(INT(IM!$W$2:$W$10000)&lt;=$B$2)
)</f>
        <v/>
      </c>
      <c r="Q7" s="337">
        <f>SUM(B7:P7)</f>
        <v/>
      </c>
      <c r="S7" s="345" t="inlineStr">
        <is>
          <t>淡水區</t>
        </is>
      </c>
      <c r="U7" s="337" t="n"/>
      <c r="V7" s="346" t="n"/>
    </row>
    <row r="8" ht="14.4" customHeight="1" s="105">
      <c r="A8" s="340" t="inlineStr">
        <is>
          <t>MFP&amp;其他</t>
        </is>
      </c>
      <c r="B8" s="341" t="inlineStr">
        <is>
          <t>08:00</t>
        </is>
      </c>
      <c r="C8" s="341" t="inlineStr">
        <is>
          <t>09:00</t>
        </is>
      </c>
      <c r="D8" s="341" t="inlineStr">
        <is>
          <t>10:00</t>
        </is>
      </c>
      <c r="E8" s="341" t="inlineStr">
        <is>
          <t>11:00</t>
        </is>
      </c>
      <c r="F8" s="341" t="inlineStr">
        <is>
          <t>12:00</t>
        </is>
      </c>
      <c r="G8" s="341" t="inlineStr">
        <is>
          <t>13:00</t>
        </is>
      </c>
      <c r="H8" s="341" t="inlineStr">
        <is>
          <t>14:00</t>
        </is>
      </c>
      <c r="I8" s="341" t="inlineStr">
        <is>
          <t>15:00</t>
        </is>
      </c>
      <c r="J8" s="341" t="inlineStr">
        <is>
          <t>16:00</t>
        </is>
      </c>
      <c r="K8" s="341" t="inlineStr">
        <is>
          <t>17:00</t>
        </is>
      </c>
      <c r="L8" s="341" t="inlineStr">
        <is>
          <t>18:00</t>
        </is>
      </c>
      <c r="M8" s="341" t="inlineStr">
        <is>
          <t>19:00</t>
        </is>
      </c>
      <c r="N8" s="341" t="inlineStr">
        <is>
          <t>20:00</t>
        </is>
      </c>
      <c r="O8" s="341" t="inlineStr">
        <is>
          <t>21:00</t>
        </is>
      </c>
      <c r="P8" s="341" t="inlineStr">
        <is>
          <t>22:00</t>
        </is>
      </c>
      <c r="Q8" s="342" t="inlineStr">
        <is>
          <t>小計</t>
        </is>
      </c>
      <c r="S8" s="345" t="inlineStr">
        <is>
          <t>八里區</t>
        </is>
      </c>
      <c r="U8" s="337" t="n"/>
      <c r="V8" s="346" t="n"/>
    </row>
    <row r="9" ht="14.4" customHeight="1" s="105">
      <c r="A9" s="337" t="inlineStr">
        <is>
          <t>狄澤洋</t>
        </is>
      </c>
      <c r="B9" s="337">
        <f t="array" ref="B9">SUMPRODUCT(
  --(MFP!$E$2:$E$10000=$A$9),
  --(MOD(MFP!$G$2:$G$10000,1)&gt;=TIME(G1,0,0)),
  --(MOD(MFP!$G$2:$G$10000,1)&lt;TIME(H1,0,0)),
  --(INT(MFP!$F$2:$F$10000)&gt;=$A$2),
  --(INT(MFP!$F$2:$F$10000)&lt;=$B$2)
)</f>
        <v/>
      </c>
      <c r="C9" s="337">
        <f t="array" ref="C9">SUMPRODUCT(
  --(MFP!$E$2:$E$10000=$A$9),
  --(MOD(MFP!$G$2:$G$10000,1)&gt;=TIME(H1,0,0)),
  --(MOD(MFP!$G$2:$G$10000,1)&lt;TIME(I1,0,0)),
  --(INT(MFP!$F$2:$F$10000)&gt;=$A$2),
  --(INT(MFP!$F$2:$F$10000)&lt;=$B$2)
)</f>
        <v/>
      </c>
      <c r="D9" s="337">
        <f t="array" ref="D9">SUMPRODUCT(
  --(MFP!$E$2:$E$10000=$A$9),
  --(MOD(MFP!$G$2:$G$10000,1)&gt;=TIME(I1,0,0)),
  --(MOD(MFP!$G$2:$G$10000,1)&lt;TIME(J1,0,0)),
  --(INT(MFP!$F$2:$F$10000)&gt;=$A$2),
  --(INT(MFP!$F$2:$F$10000)&lt;=$B$2)
)</f>
        <v/>
      </c>
      <c r="E9" s="337">
        <f t="array" ref="E9">SUMPRODUCT(
  --(MFP!$E$2:$E$10000=$A$9),
  --(MOD(MFP!$G$2:$G$10000,1)&gt;=TIME(J1,0,0)),
  --(MOD(MFP!$G$2:$G$10000,1)&lt;TIME(K1,0,0)),
  --(INT(MFP!$F$2:$F$10000)&gt;=$A$2),
  --(INT(MFP!$F$2:$F$10000)&lt;=$B$2)
)</f>
        <v/>
      </c>
      <c r="F9" s="337">
        <f t="array" ref="F9">SUMPRODUCT(
  --(MFP!$E$2:$E$10000=$A$9),
  --(MOD(MFP!$G$2:$G$10000,1)&gt;=TIME(K1,0,0)),
  --(MOD(MFP!$G$2:$G$10000,1)&lt;TIME(L1,0,0)),
  --(INT(MFP!$F$2:$F$10000)&gt;=$A$2),
  --(INT(MFP!$F$2:$F$10000)&lt;=$B$2)
)</f>
        <v/>
      </c>
      <c r="G9" s="337">
        <f t="array" ref="G9">SUMPRODUCT(
  --(MFP!$E$2:$E$10000=$A$9),
  --(MOD(MFP!$G$2:$G$10000,1)&gt;=TIME(L1,0,0)),
  --(MOD(MFP!$G$2:$G$10000,1)&lt;TIME(M1,0,0)),
  --(INT(MFP!$F$2:$F$10000)&gt;=$A$2),
  --(INT(MFP!$F$2:$F$10000)&lt;=$B$2)
)</f>
        <v/>
      </c>
      <c r="H9" s="337">
        <f t="array" ref="H9">SUMPRODUCT(
  --(MFP!$E$2:$E$10000=$A$9),
  --(MOD(MFP!$G$2:$G$10000,1)&gt;=TIME(M1,0,0)),
  --(MOD(MFP!$G$2:$G$10000,1)&lt;TIME(N1,0,0)),
  --(INT(MFP!$F$2:$F$10000)&gt;=$A$2),
  --(INT(MFP!$F$2:$F$10000)&lt;=$B$2)
)</f>
        <v/>
      </c>
      <c r="I9" s="337">
        <f t="array" ref="I9">SUMPRODUCT(
  --(MFP!$E$2:$E$10000=$A$9),
  --(MOD(MFP!$G$2:$G$10000,1)&gt;=TIME(N1,0,0)),
  --(MOD(MFP!$G$2:$G$10000,1)&lt;TIME(O1,0,0)),
  --(INT(MFP!$F$2:$F$10000)&gt;=$A$2),
  --(INT(MFP!$F$2:$F$10000)&lt;=$B$2)
)</f>
        <v/>
      </c>
      <c r="J9" s="337">
        <f t="array" ref="J9">SUMPRODUCT(
  --(MFP!$E$2:$E$10000=$A$9),
  --(MOD(MFP!$G$2:$G$10000,1)&gt;=TIME(O1,0,0)),
  --(MOD(MFP!$G$2:$G$10000,1)&lt;TIME(P1,0,0)),
  --(INT(MFP!$F$2:$F$10000)&gt;=$A$2),
  --(INT(MFP!$F$2:$F$10000)&lt;=$B$2)
)</f>
        <v/>
      </c>
      <c r="K9" s="337">
        <f t="array" ref="K9">SUMPRODUCT(
  --(MFP!$E$2:$E$10000=$A$9),
  --(MOD(MFP!$G$2:$G$10000,1)&gt;=TIME(P1,0,0)),
  --(MOD(MFP!$G$2:$G$10000,1)&lt;TIME(Q1,0,0)),
  --(INT(MFP!$F$2:$F$10000)&gt;=$A$2),
  --(INT(MFP!$F$2:$F$10000)&lt;=$B$2)
)</f>
        <v/>
      </c>
      <c r="L9" s="337">
        <f t="array" ref="L9">SUMPRODUCT(
  --(MFP!$E$2:$E$10000=$A$9),
  --(MOD(MFP!$G$2:$G$10000,1)&gt;=TIME(Q1,0,0)),
  --(MOD(MFP!$G$2:$G$10000,1)&lt;TIME(R1,0,0)),
  --(INT(MFP!$F$2:$F$10000)&gt;=$A$2),
  --(INT(MFP!$F$2:$F$10000)&lt;=$B$2)
)</f>
        <v/>
      </c>
      <c r="M9" s="337">
        <f t="array" ref="M9">SUMPRODUCT(
  --(MFP!$E$2:$E$10000=$A$9),
  --(MOD(MFP!$G$2:$G$10000,1)&gt;=TIME(R1,0,0)),
  --(MOD(MFP!$G$2:$G$10000,1)&lt;TIME(S1,0,0)),
  --(INT(MFP!$F$2:$F$10000)&gt;=$A$2),
  --(INT(MFP!$F$2:$F$10000)&lt;=$B$2)
)</f>
        <v/>
      </c>
      <c r="N9" s="337">
        <f t="array" ref="N9">SUMPRODUCT(
  --(MFP!$E$2:$E$10000=$A$9),
  --(MOD(MFP!$G$2:$G$10000,1)&gt;=TIME(S1,0,0)),
  --(MOD(MFP!$G$2:$G$10000,1)&lt;TIME(T1,0,0)),
  --(INT(MFP!$F$2:$F$10000)&gt;=$A$2),
  --(INT(MFP!$F$2:$F$10000)&lt;=$B$2)
)</f>
        <v/>
      </c>
      <c r="O9" s="337">
        <f t="array" ref="O9">SUMPRODUCT(
  --(MFP!$E$2:$E$10000=$A$9),
  --(MOD(MFP!$G$2:$G$10000,1)&gt;=TIME(T1,0,0)),
  --(MOD(MFP!$G$2:$G$10000,1)&lt;TIME(U1,0,0)),
  --(INT(MFP!$F$2:$F$10000)&gt;=$A$2),
  --(INT(MFP!$F$2:$F$10000)&lt;=$B$2)
)</f>
        <v/>
      </c>
      <c r="P9" s="337">
        <f t="array" ref="P9">SUMPRODUCT(
  --(MFP!$E$2:$E$10000=$A$9),
  --(MOD(MFP!$G$2:$G$10000,1)&gt;=TIME(U1,0,0)),
  --(MOD(MFP!$G$2:$G$10000,1)&lt;TIME(V1,0,0)),
  --(INT(MFP!$F$2:$F$10000)&gt;=$A$2),
  --(INT(MFP!$F$2:$F$10000)&lt;=$B$2)
)</f>
        <v/>
      </c>
      <c r="Q9" s="337">
        <f>SUM(B9:P9)</f>
        <v/>
      </c>
      <c r="S9" s="345" t="inlineStr">
        <is>
          <t>蘆洲區</t>
        </is>
      </c>
      <c r="U9" s="337" t="n"/>
      <c r="V9" s="346" t="n"/>
    </row>
    <row r="10" ht="14.4" customHeight="1" s="105">
      <c r="A10" s="337" t="inlineStr">
        <is>
          <t>湯家瑋</t>
        </is>
      </c>
      <c r="B10" s="337">
        <f t="array" ref="B10">SUMPRODUCT(
  --(MFP!$E$2:$E$10000=$A$10),
  --(MOD(MFP!$G$2:$G$10000,1)&gt;=TIME(G1,0,0)),
  --(MOD(MFP!$G$2:$G$10000,1)&lt;TIME(H1,0,0)),
  --(INT(MFP!$F$2:$F$10000)&gt;=$A$2),
  --(INT(MFP!$F$2:$F$10000)&lt;=$B$2)
)</f>
        <v/>
      </c>
      <c r="C10" s="337">
        <f t="array" ref="C10">SUMPRODUCT(
  --(MFP!$E$2:$E$10000=$A$10),
  --(MOD(MFP!$G$2:$G$10000,1)&gt;=TIME(H1,0,0)),
  --(MOD(MFP!$G$2:$G$10000,1)&lt;TIME(I1,0,0)),
  --(INT(MFP!$F$2:$F$10000)&gt;=$A$2),
  --(INT(MFP!$F$2:$F$10000)&lt;=$B$2)
)</f>
        <v/>
      </c>
      <c r="D10" s="337">
        <f t="array" ref="D10">SUMPRODUCT(
  --(MFP!$E$2:$E$10000=$A$10),
  --(MOD(MFP!$G$2:$G$10000,1)&gt;=TIME(I1,0,0)),
  --(MOD(MFP!$G$2:$G$10000,1)&lt;TIME(J1,0,0)),
  --(INT(MFP!$F$2:$F$10000)&gt;=$A$2),
  --(INT(MFP!$F$2:$F$10000)&lt;=$B$2)
)</f>
        <v/>
      </c>
      <c r="E10" s="337">
        <f t="array" ref="E10">SUMPRODUCT(
  --(MFP!$E$2:$E$10000=$A$10),
  --(MOD(MFP!$G$2:$G$10000,1)&gt;=TIME(J1,0,0)),
  --(MOD(MFP!$G$2:$G$10000,1)&lt;TIME(K1,0,0)),
  --(INT(MFP!$F$2:$F$10000)&gt;=$A$2),
  --(INT(MFP!$F$2:$F$10000)&lt;=$B$2)
)</f>
        <v/>
      </c>
      <c r="F10" s="337">
        <f t="array" ref="F10">SUMPRODUCT(
  --(MFP!$E$2:$E$10000=$A$10),
  --(MOD(MFP!$G$2:$G$10000,1)&gt;=TIME(K1,0,0)),
  --(MOD(MFP!$G$2:$G$10000,1)&lt;TIME(L1,0,0)),
  --(INT(MFP!$F$2:$F$10000)&gt;=$A$2),
  --(INT(MFP!$F$2:$F$10000)&lt;=$B$2)
)</f>
        <v/>
      </c>
      <c r="G10" s="337">
        <f t="array" ref="G10">SUMPRODUCT(
  --(MFP!$E$2:$E$10000=$A$10),
  --(MOD(MFP!$G$2:$G$10000,1)&gt;=TIME(L1,0,0)),
  --(MOD(MFP!$G$2:$G$10000,1)&lt;TIME(M1,0,0)),
  --(INT(MFP!$F$2:$F$10000)&gt;=$A$2),
  --(INT(MFP!$F$2:$F$10000)&lt;=$B$2)
)</f>
        <v/>
      </c>
      <c r="H10" s="337">
        <f t="array" ref="H10">SUMPRODUCT(
  --(MFP!$E$2:$E$10000=$A$10),
  --(MOD(MFP!$G$2:$G$10000,1)&gt;=TIME(M1,0,0)),
  --(MOD(MFP!$G$2:$G$10000,1)&lt;TIME(N1,0,0)),
  --(INT(MFP!$F$2:$F$10000)&gt;=$A$2),
  --(INT(MFP!$F$2:$F$10000)&lt;=$B$2)
)</f>
        <v/>
      </c>
      <c r="I10" s="337">
        <f t="array" ref="I10">SUMPRODUCT(
  --(MFP!$E$2:$E$10000=$A$10),
  --(MOD(MFP!$G$2:$G$10000,1)&gt;=TIME(N1,0,0)),
  --(MOD(MFP!$G$2:$G$10000,1)&lt;TIME(O1,0,0)),
  --(INT(MFP!$F$2:$F$10000)&gt;=$A$2),
  --(INT(MFP!$F$2:$F$10000)&lt;=$B$2)
)</f>
        <v/>
      </c>
      <c r="J10" s="337">
        <f t="array" ref="J10">SUMPRODUCT(
  --(MFP!$E$2:$E$10000=$A$10),
  --(MOD(MFP!$G$2:$G$10000,1)&gt;=TIME(O1,0,0)),
  --(MOD(MFP!$G$2:$G$10000,1)&lt;TIME(P1,0,0)),
  --(INT(MFP!$F$2:$F$10000)&gt;=$A$2),
  --(INT(MFP!$F$2:$F$10000)&lt;=$B$2)
)</f>
        <v/>
      </c>
      <c r="K10" s="337">
        <f t="array" ref="K10">SUMPRODUCT(
  --(MFP!$E$2:$E$10000=$A$10),
  --(MOD(MFP!$G$2:$G$10000,1)&gt;=TIME(P1,0,0)),
  --(MOD(MFP!$G$2:$G$10000,1)&lt;TIME(Q1,0,0)),
  --(INT(MFP!$F$2:$F$10000)&gt;=$A$2),
  --(INT(MFP!$F$2:$F$10000)&lt;=$B$2)
)</f>
        <v/>
      </c>
      <c r="L10" s="337">
        <f t="array" ref="L10">SUMPRODUCT(
  --(MFP!$E$2:$E$10000=$A$10),
  --(MOD(MFP!$G$2:$G$10000,1)&gt;=TIME(Q1,0,0)),
  --(MOD(MFP!$G$2:$G$10000,1)&lt;TIME(R1,0,0)),
  --(INT(MFP!$F$2:$F$10000)&gt;=$A$2),
  --(INT(MFP!$F$2:$F$10000)&lt;=$B$2)
)</f>
        <v/>
      </c>
      <c r="M10" s="337">
        <f t="array" ref="M10">SUMPRODUCT(
  --(MFP!$E$2:$E$10000=$A$10),
  --(MOD(MFP!$G$2:$G$10000,1)&gt;=TIME(R1,0,0)),
  --(MOD(MFP!$G$2:$G$10000,1)&lt;TIME(S1,0,0)),
  --(INT(MFP!$F$2:$F$10000)&gt;=$A$2),
  --(INT(MFP!$F$2:$F$10000)&lt;=$B$2)
)</f>
        <v/>
      </c>
      <c r="N10" s="337">
        <f t="array" ref="N10">SUMPRODUCT(
  --(MFP!$E$2:$E$10000=$A$10),
  --(MOD(MFP!$G$2:$G$10000,1)&gt;=TIME(S1,0,0)),
  --(MOD(MFP!$G$2:$G$10000,1)&lt;TIME(T1,0,0)),
  --(INT(MFP!$F$2:$F$10000)&gt;=$A$2),
  --(INT(MFP!$F$2:$F$10000)&lt;=$B$2)
)</f>
        <v/>
      </c>
      <c r="O10" s="337">
        <f t="array" ref="O10">SUMPRODUCT(
  --(MFP!$E$2:$E$10000=$A$10),
  --(MOD(MFP!$G$2:$G$10000,1)&gt;=TIME(T1,0,0)),
  --(MOD(MFP!$G$2:$G$10000,1)&lt;TIME(U1,0,0)),
  --(INT(MFP!$F$2:$F$10000)&gt;=$A$2),
  --(INT(MFP!$F$2:$F$10000)&lt;=$B$2)
)</f>
        <v/>
      </c>
      <c r="P10" s="337">
        <f t="array" ref="P10">SUMPRODUCT(
  --(MFP!$E$2:$E$10000=$A$10),
  --(MOD(MFP!$G$2:$G$10000,1)&gt;=TIME(U1,0,0)),
  --(MOD(MFP!$G$2:$G$10000,1)&lt;TIME(V1,0,0)),
  --(INT(MFP!$F$2:$F$10000)&gt;=$A$2),
  --(INT(MFP!$F$2:$F$10000)&lt;=$B$2)
)</f>
        <v/>
      </c>
      <c r="Q10" s="337">
        <f>SUM(B10:P10)</f>
        <v/>
      </c>
      <c r="S10" s="345" t="inlineStr">
        <is>
          <t>三芝區</t>
        </is>
      </c>
      <c r="U10" s="337" t="n"/>
      <c r="V10" s="346" t="n"/>
    </row>
    <row r="11" ht="14.4" customHeight="1" s="105">
      <c r="A11" s="337" t="inlineStr">
        <is>
          <t>吳宗鴻</t>
        </is>
      </c>
      <c r="B11" s="337">
        <f t="array" ref="B11">SUMPRODUCT(
  --(MFP!$E$2:$E$10000 = $A$11),
  --(IFERROR(VALUE(MID(MFP!$G$2:$G$10000,1,5)),0) &gt;= TIME(G1,0,0)),
  --(IFERROR(VALUE(MID(MFP!$G$2:$G$10000,1,5)),0) &lt; TIME(H1,0,0)),
  --(TEXT(LEFT(MFP!$F$2:$F$10000,10),"yyyy-mm-dd") &gt;= TEXT($A$2,"yyyy-mm-dd")),
  --(TEXT(LEFT(MFP!$F$2:$F$10000,10),"yyyy-mm-dd") &lt;= TEXT($B$2,"yyyy-mm-dd"))
)</f>
        <v/>
      </c>
      <c r="C11" s="337">
        <f t="array" ref="C11">SUMPRODUCT(
  --(MFP!$E$2:$E$10000 = $A$11),
  --(IFERROR(VALUE(MID(MFP!$G$2:$G$10000,1,5)),0) &gt;= TIME(H1,0,0)),
  --(IFERROR(VALUE(MID(MFP!$G$2:$G$10000,1,5)),0) &lt; TIME(I1,0,0)),
  --(TEXT(LEFT(MFP!$F$2:$F$10000,10),"yyyy-mm-dd") &gt;= TEXT($A$2,"yyyy-mm-dd")),
  --(TEXT(LEFT(MFP!$F$2:$F$10000,10),"yyyy-mm-dd") &lt;= TEXT($B$2,"yyyy-mm-dd"))
)</f>
        <v/>
      </c>
      <c r="D11" s="337">
        <f t="array" ref="D11">SUMPRODUCT(
  --(MFP!$E$2:$E$10000 = $A$11),
  --(IFERROR(VALUE(MID(MFP!$G$2:$G$10000,1,5)),0) &gt;= TIME(I1,0,0)),
  --(IFERROR(VALUE(MID(MFP!$G$2:$G$10000,1,5)),0) &lt; TIME(J1,0,0)),
  --(TEXT(LEFT(MFP!$F$2:$F$10000,10),"yyyy-mm-dd") &gt;= TEXT($A$2,"yyyy-mm-dd")),
  --(TEXT(LEFT(MFP!$F$2:$F$10000,10),"yyyy-mm-dd") &lt;= TEXT($B$2,"yyyy-mm-dd"))
)</f>
        <v/>
      </c>
      <c r="E11" s="337">
        <f t="array" ref="E11">SUMPRODUCT(
  --(MFP!$E$2:$E$10000 = $A$11),
  --(IFERROR(VALUE(MID(MFP!$G$2:$G$10000,1,5)),0) &gt;= TIME(J1,0,0)),
  --(IFERROR(VALUE(MID(MFP!$G$2:$G$10000,1,5)),0) &lt; TIME(K1,0,0)),
  --(TEXT(LEFT(MFP!$F$2:$F$10000,10),"yyyy-mm-dd") &gt;= TEXT($A$2,"yyyy-mm-dd")),
  --(TEXT(LEFT(MFP!$F$2:$F$10000,10),"yyyy-mm-dd") &lt;= TEXT($B$2,"yyyy-mm-dd"))
)</f>
        <v/>
      </c>
      <c r="F11" s="337">
        <f t="array" ref="F11">SUMPRODUCT(
  --(MFP!$E$2:$E$10000 = $A$11),
  --(IFERROR(VALUE(MID(MFP!$G$2:$G$10000,1,5)),0) &gt;= TIME(K1,0,0)),
  --(IFERROR(VALUE(MID(MFP!$G$2:$G$10000,1,5)),0) &lt; TIME(L1,0,0)),
  --(TEXT(LEFT(MFP!$F$2:$F$10000,10),"yyyy-mm-dd") &gt;= TEXT($A$2,"yyyy-mm-dd")),
  --(TEXT(LEFT(MFP!$F$2:$F$10000,10),"yyyy-mm-dd") &lt;= TEXT($B$2,"yyyy-mm-dd"))
)</f>
        <v/>
      </c>
      <c r="G11" s="337">
        <f t="array" ref="G11">SUMPRODUCT(
  --(MFP!$E$2:$E$10000 = $A$11),
  --(IFERROR(VALUE(MID(MFP!$G$2:$G$10000,1,5)),0) &gt;= TIME(L1,0,0)),
  --(IFERROR(VALUE(MID(MFP!$G$2:$G$10000,1,5)),0) &lt; TIME(M1,0,0)),
  --(TEXT(LEFT(MFP!$F$2:$F$10000,10),"yyyy-mm-dd") &gt;= TEXT($A$2,"yyyy-mm-dd")),
  --(TEXT(LEFT(MFP!$F$2:$F$10000,10),"yyyy-mm-dd") &lt;= TEXT($B$2,"yyyy-mm-dd"))
)</f>
        <v/>
      </c>
      <c r="H11" s="337">
        <f t="array" ref="H11">SUMPRODUCT(
  --(MFP!$E$2:$E$10000 = $A$11),
  --(IFERROR(VALUE(MID(MFP!$G$2:$G$10000,1,5)),0) &gt;= TIME(M1,0,0)),
  --(IFERROR(VALUE(MID(MFP!$G$2:$G$10000,1,5)),0) &lt; TIME(N1,0,0)),
  --(TEXT(LEFT(MFP!$F$2:$F$10000,10),"yyyy-mm-dd") &gt;= TEXT($A$2,"yyyy-mm-dd")),
  --(TEXT(LEFT(MFP!$F$2:$F$10000,10),"yyyy-mm-dd") &lt;= TEXT($B$2,"yyyy-mm-dd"))
)</f>
        <v/>
      </c>
      <c r="I11" s="337">
        <f t="array" ref="I11">SUMPRODUCT(
  --(MFP!$E$2:$E$10000 = $A$11),
  --(IFERROR(VALUE(MID(MFP!$G$2:$G$10000,1,5)),0) &gt;= TIME(N1,0,0)),
  --(IFERROR(VALUE(MID(MFP!$G$2:$G$10000,1,5)),0) &lt; TIME(O1,0,0)),
  --(TEXT(LEFT(MFP!$F$2:$F$10000,10),"yyyy-mm-dd") &gt;= TEXT($A$2,"yyyy-mm-dd")),
  --(TEXT(LEFT(MFP!$F$2:$F$10000,10),"yyyy-mm-dd") &lt;= TEXT($B$2,"yyyy-mm-dd"))
)</f>
        <v/>
      </c>
      <c r="J11" s="337">
        <f t="array" ref="J11">SUMPRODUCT(
  --(MFP!$E$2:$E$10000 = $A$11),
  --(IFERROR(VALUE(MID(MFP!$G$2:$G$10000,1,5)),0) &gt;= TIME(O1,0,0)),
  --(IFERROR(VALUE(MID(MFP!$G$2:$G$10000,1,5)),0) &lt; TIME(P1,0,0)),
  --(TEXT(LEFT(MFP!$F$2:$F$10000,10),"yyyy-mm-dd") &gt;= TEXT($A$2,"yyyy-mm-dd")),
  --(TEXT(LEFT(MFP!$F$2:$F$10000,10),"yyyy-mm-dd") &lt;= TEXT($B$2,"yyyy-mm-dd"))
)</f>
        <v/>
      </c>
      <c r="K11" s="337">
        <f t="array" ref="K11">SUMPRODUCT(
  --(MFP!$E$2:$E$10000 = $A$11),
  --(IFERROR(VALUE(MID(MFP!$G$2:$G$10000,1,5)),0) &gt;= TIME(P1,0,0)),
  --(IFERROR(VALUE(MID(MFP!$G$2:$G$10000,1,5)),0) &lt; TIME(Q1,0,0)),
  --(TEXT(LEFT(MFP!$F$2:$F$10000,10),"yyyy-mm-dd") &gt;= TEXT($A$2,"yyyy-mm-dd")),
  --(TEXT(LEFT(MFP!$F$2:$F$10000,10),"yyyy-mm-dd") &lt;= TEXT($B$2,"yyyy-mm-dd"))
)</f>
        <v/>
      </c>
      <c r="L11" s="337">
        <f t="array" ref="L11">SUMPRODUCT(
  --(MFP!$E$2:$E$10000 = $A$11),
  --(IFERROR(VALUE(MID(MFP!$G$2:$G$10000,1,5)),0) &gt;= TIME(Q1,0,0)),
  --(IFERROR(VALUE(MID(MFP!$G$2:$G$10000,1,5)),0) &lt; TIME(R1,0,0)),
  --(TEXT(LEFT(MFP!$F$2:$F$10000,10),"yyyy-mm-dd") &gt;= TEXT($A$2,"yyyy-mm-dd")),
  --(TEXT(LEFT(MFP!$F$2:$F$10000,10),"yyyy-mm-dd") &lt;= TEXT($B$2,"yyyy-mm-dd"))
)</f>
        <v/>
      </c>
      <c r="M11" s="337">
        <f t="array" ref="M11">SUMPRODUCT(
  --(MFP!$E$2:$E$10000 = $A$11),
  --(IFERROR(VALUE(MID(MFP!$G$2:$G$10000,1,5)),0) &gt;= TIME(R1,0,0)),
  --(IFERROR(VALUE(MID(MFP!$G$2:$G$10000,1,5)),0) &lt; TIME(S1,0,0)),
  --(TEXT(LEFT(MFP!$F$2:$F$10000,10),"yyyy-mm-dd") &gt;= TEXT($A$2,"yyyy-mm-dd")),
  --(TEXT(LEFT(MFP!$F$2:$F$10000,10),"yyyy-mm-dd") &lt;= TEXT($B$2,"yyyy-mm-dd"))
)</f>
        <v/>
      </c>
      <c r="N11" s="337">
        <f t="array" ref="N11">SUMPRODUCT(
  --(MFP!$E$2:$E$10000 = $A$11),
  --(IFERROR(VALUE(MID(MFP!$G$2:$G$10000,1,5)),0) &gt;= TIME(S1,0,0)),
  --(IFERROR(VALUE(MID(MFP!$G$2:$G$10000,1,5)),0) &lt; TIME(T1,0,0)),
  --(TEXT(LEFT(MFP!$F$2:$F$10000,10),"yyyy-mm-dd") &gt;= TEXT($A$2,"yyyy-mm-dd")),
  --(TEXT(LEFT(MFP!$F$2:$F$10000,10),"yyyy-mm-dd") &lt;= TEXT($B$2,"yyyy-mm-dd"))
)</f>
        <v/>
      </c>
      <c r="O11" s="337">
        <f t="array" ref="O11">SUMPRODUCT(
  --(MFP!$E$2:$E$10000 = $A$11),
  --(IFERROR(VALUE(MID(MFP!$G$2:$G$10000,1,5)),0) &gt;= TIME(T1,0,0)),
  --(IFERROR(VALUE(MID(MFP!$G$2:$G$10000,1,5)),0) &lt; TIME(U1,0,0)),
  --(TEXT(LEFT(MFP!$F$2:$F$10000,10),"yyyy-mm-dd") &gt;= TEXT($A$2,"yyyy-mm-dd")),
  --(TEXT(LEFT(MFP!$F$2:$F$10000,10),"yyyy-mm-dd") &lt;= TEXT($B$2,"yyyy-mm-dd"))
)</f>
        <v/>
      </c>
      <c r="P11" s="337">
        <f t="array" ref="P11">SUMPRODUCT(
  --(MFP!$E$2:$E$10000 = $A$11),
  --(IFERROR(VALUE(MID(MFP!$G$2:$G$10000,1,5)),0) &gt;= TIME(U1,0,0)),
  --(IFERROR(VALUE(MID(MFP!$G$2:$G$10000,1,5)),0) &lt; TIME(V1,0,0)),
  --(TEXT(LEFT(MFP!$F$2:$F$10000,10),"yyyy-mm-dd") &gt;= TEXT($A$2,"yyyy-mm-dd")),
  --(TEXT(LEFT(MFP!$F$2:$F$10000,10),"yyyy-mm-dd") &lt;= TEXT($B$2,"yyyy-mm-dd"))
)</f>
        <v/>
      </c>
      <c r="Q11" s="337">
        <f>SUM(B11:P11)</f>
        <v/>
      </c>
      <c r="S11" s="345" t="inlineStr">
        <is>
          <t>金山區</t>
        </is>
      </c>
      <c r="U11" s="337" t="n"/>
      <c r="V11" s="346" t="n"/>
    </row>
    <row r="12" ht="14.4" customHeight="1" s="105">
      <c r="A12" s="340" t="inlineStr">
        <is>
          <t>合併計算</t>
        </is>
      </c>
      <c r="B12" s="341" t="inlineStr">
        <is>
          <t>08:00</t>
        </is>
      </c>
      <c r="C12" s="341" t="inlineStr">
        <is>
          <t>09:00</t>
        </is>
      </c>
      <c r="D12" s="341" t="inlineStr">
        <is>
          <t>10:00</t>
        </is>
      </c>
      <c r="E12" s="341" t="inlineStr">
        <is>
          <t>11:00</t>
        </is>
      </c>
      <c r="F12" s="341" t="inlineStr">
        <is>
          <t>12:00</t>
        </is>
      </c>
      <c r="G12" s="341" t="inlineStr">
        <is>
          <t>13:00</t>
        </is>
      </c>
      <c r="H12" s="341" t="inlineStr">
        <is>
          <t>14:00</t>
        </is>
      </c>
      <c r="I12" s="341" t="inlineStr">
        <is>
          <t>15:00</t>
        </is>
      </c>
      <c r="J12" s="341" t="inlineStr">
        <is>
          <t>16:00</t>
        </is>
      </c>
      <c r="K12" s="341" t="inlineStr">
        <is>
          <t>17:00</t>
        </is>
      </c>
      <c r="L12" s="341" t="inlineStr">
        <is>
          <t>18:00</t>
        </is>
      </c>
      <c r="M12" s="341" t="inlineStr">
        <is>
          <t>19:00</t>
        </is>
      </c>
      <c r="N12" s="341" t="inlineStr">
        <is>
          <t>20:00</t>
        </is>
      </c>
      <c r="O12" s="341" t="inlineStr">
        <is>
          <t>21:00</t>
        </is>
      </c>
      <c r="P12" s="341" t="inlineStr">
        <is>
          <t>22:00</t>
        </is>
      </c>
      <c r="Q12" s="342" t="inlineStr">
        <is>
          <t>小計</t>
        </is>
      </c>
      <c r="S12" s="345" t="inlineStr">
        <is>
          <t>石門區</t>
        </is>
      </c>
      <c r="U12" s="337" t="n"/>
      <c r="V12" s="346" t="n"/>
    </row>
    <row r="13" ht="14.4" customHeight="1" s="105">
      <c r="A13" s="348" t="inlineStr">
        <is>
          <t>狄澤洋</t>
        </is>
      </c>
      <c r="B13" s="337">
        <f>B5+B9</f>
        <v/>
      </c>
      <c r="C13" s="337">
        <f>C5+C9</f>
        <v/>
      </c>
      <c r="D13" s="337">
        <f>D5+D9</f>
        <v/>
      </c>
      <c r="E13" s="337">
        <f>E5+E9</f>
        <v/>
      </c>
      <c r="F13" s="337">
        <f>F5+F9</f>
        <v/>
      </c>
      <c r="G13" s="337">
        <f>G5+G9</f>
        <v/>
      </c>
      <c r="H13" s="337">
        <f>H5+H9</f>
        <v/>
      </c>
      <c r="I13" s="337">
        <f>I5+I9</f>
        <v/>
      </c>
      <c r="J13" s="337">
        <f>J5+J9</f>
        <v/>
      </c>
      <c r="K13" s="337">
        <f>K5+K9</f>
        <v/>
      </c>
      <c r="L13" s="337">
        <f>L5+L9</f>
        <v/>
      </c>
      <c r="M13" s="337">
        <f>M5+M9</f>
        <v/>
      </c>
      <c r="N13" s="337">
        <f>N5+N9</f>
        <v/>
      </c>
      <c r="O13" s="337">
        <f>O5+O9</f>
        <v/>
      </c>
      <c r="P13" s="337">
        <f>P5+P9</f>
        <v/>
      </c>
      <c r="Q13" s="337">
        <f>SUM(B13:P13)</f>
        <v/>
      </c>
      <c r="S13" s="345" t="inlineStr">
        <is>
          <t>五股區</t>
        </is>
      </c>
      <c r="U13" s="337" t="n"/>
      <c r="V13" s="346" t="n"/>
    </row>
    <row r="14" ht="14.4" customHeight="1" s="105">
      <c r="A14" s="349" t="inlineStr">
        <is>
          <t>湯家瑋</t>
        </is>
      </c>
      <c r="B14" s="337">
        <f>B6+B10</f>
        <v/>
      </c>
      <c r="C14" s="337">
        <f>C6+C10</f>
        <v/>
      </c>
      <c r="D14" s="337">
        <f>D6+D10</f>
        <v/>
      </c>
      <c r="E14" s="337">
        <f>E6+E10</f>
        <v/>
      </c>
      <c r="F14" s="337">
        <f>F6+F10</f>
        <v/>
      </c>
      <c r="G14" s="337">
        <f>G6+G10</f>
        <v/>
      </c>
      <c r="H14" s="337">
        <f>H6+H10</f>
        <v/>
      </c>
      <c r="I14" s="337">
        <f>I6+I10</f>
        <v/>
      </c>
      <c r="J14" s="337">
        <f>J6+J10</f>
        <v/>
      </c>
      <c r="K14" s="337">
        <f>K6+K10</f>
        <v/>
      </c>
      <c r="L14" s="337">
        <f>L6+L10</f>
        <v/>
      </c>
      <c r="M14" s="337">
        <f>M6+M10</f>
        <v/>
      </c>
      <c r="N14" s="337">
        <f>N6+N10</f>
        <v/>
      </c>
      <c r="O14" s="337">
        <f>O6+O10</f>
        <v/>
      </c>
      <c r="P14" s="337">
        <f>P6+P10</f>
        <v/>
      </c>
      <c r="Q14" s="337">
        <f>SUM(B14:P14)</f>
        <v/>
      </c>
      <c r="S14" s="345" t="inlineStr">
        <is>
          <t>新莊區</t>
        </is>
      </c>
      <c r="U14" s="337" t="n"/>
      <c r="V14" s="346" t="n"/>
    </row>
    <row r="15" ht="14.4" customHeight="1" s="105">
      <c r="A15" s="350" t="inlineStr">
        <is>
          <t>吳宗鴻</t>
        </is>
      </c>
      <c r="B15" s="337">
        <f>B7+B11</f>
        <v/>
      </c>
      <c r="C15" s="337">
        <f>C7+C11</f>
        <v/>
      </c>
      <c r="D15" s="337">
        <f>D7+D11</f>
        <v/>
      </c>
      <c r="E15" s="337">
        <f>E7+E11</f>
        <v/>
      </c>
      <c r="F15" s="337">
        <f>F7+F11</f>
        <v/>
      </c>
      <c r="G15" s="337">
        <f>G7+G11</f>
        <v/>
      </c>
      <c r="H15" s="337">
        <f>H7+H11</f>
        <v/>
      </c>
      <c r="I15" s="337">
        <f>I7+I11</f>
        <v/>
      </c>
      <c r="J15" s="337">
        <f>J7+J11</f>
        <v/>
      </c>
      <c r="K15" s="337">
        <f>K7+K11</f>
        <v/>
      </c>
      <c r="L15" s="337">
        <f>L7+L11</f>
        <v/>
      </c>
      <c r="M15" s="337">
        <f>M7+M11</f>
        <v/>
      </c>
      <c r="N15" s="337">
        <f>N7+N11</f>
        <v/>
      </c>
      <c r="O15" s="337">
        <f>O7+O11</f>
        <v/>
      </c>
      <c r="P15" s="337">
        <f>P7+P11</f>
        <v/>
      </c>
      <c r="Q15" s="337">
        <f>SUM(B15:P15)</f>
        <v/>
      </c>
      <c r="S15" s="345" t="inlineStr">
        <is>
          <t>林口區</t>
        </is>
      </c>
      <c r="U15" s="337" t="n"/>
      <c r="V15" s="346" t="n"/>
    </row>
    <row r="16" ht="14.4" customHeight="1" s="105">
      <c r="S16" s="345" t="inlineStr">
        <is>
          <t>泰山區</t>
        </is>
      </c>
      <c r="U16" s="337" t="n"/>
      <c r="V16" s="346" t="n"/>
    </row>
    <row r="17" ht="14.4" customHeight="1" s="105">
      <c r="S17" s="345" t="inlineStr">
        <is>
          <t>士林區</t>
        </is>
      </c>
      <c r="U17" s="337" t="n"/>
      <c r="V17" s="346" t="n"/>
    </row>
    <row r="18" ht="14.4" customHeight="1" s="105">
      <c r="S18" s="345" t="inlineStr">
        <is>
          <t>北投區</t>
        </is>
      </c>
      <c r="U18" s="337" t="n"/>
      <c r="V18" s="346"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8" sqref="E8"/>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17"/>
    <col width="8.796875" customWidth="1" style="19" min="218"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完工後撤店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filterMode="1">
    <outlinePr summaryBelow="1" summaryRight="1"/>
    <pageSetUpPr/>
  </sheetPr>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69"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51" min="11" max="11"/>
    <col hidden="1" width="8.19921875" customWidth="1" style="371" min="12" max="12"/>
    <col hidden="1" width="13.796875" customWidth="1" style="451" min="13" max="13"/>
    <col hidden="1" width="8.19921875" customWidth="1" style="371" min="14" max="14"/>
    <col hidden="1" width="12.69921875" customWidth="1" style="376" min="15" max="15"/>
    <col hidden="1" width="8.19921875" customWidth="1" style="376" min="16" max="16"/>
    <col hidden="1" width="12.69921875" customWidth="1" style="376" min="17" max="18"/>
    <col hidden="1" width="13" customWidth="1" style="376" min="19" max="20"/>
    <col width="8.19921875" customWidth="1" style="384" min="21" max="21"/>
    <col width="8.19921875" customWidth="1" style="376" min="22" max="22"/>
    <col width="25.59765625" customWidth="1" style="376" min="23" max="23"/>
    <col width="8.19921875" customWidth="1" style="376" min="24" max="25"/>
    <col width="8.19921875" customWidth="1" style="385" min="26" max="26"/>
    <col width="8.19921875" customWidth="1" style="371" min="27" max="27"/>
    <col width="13.5" bestFit="1" customWidth="1" style="371" min="28" max="28"/>
    <col width="9.69921875" bestFit="1" customWidth="1" style="3" min="29" max="29"/>
    <col width="12.59765625" customWidth="1" style="371" min="30" max="31"/>
    <col width="11.09765625" bestFit="1" customWidth="1" style="376" min="32" max="32"/>
    <col width="9.296875" bestFit="1" customWidth="1" style="376" min="33" max="33"/>
    <col width="8.19921875" customWidth="1" style="376" min="34" max="34"/>
    <col width="9.8984375" bestFit="1" customWidth="1" style="376" min="35" max="35"/>
    <col width="8.19921875" customWidth="1" style="376" min="36" max="233"/>
    <col width="8.19921875" customWidth="1" style="376" min="234"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51" t="inlineStr">
        <is>
          <t>區經理手機</t>
        </is>
      </c>
      <c r="L1" s="370" t="inlineStr">
        <is>
          <t>部經理</t>
        </is>
      </c>
      <c r="M1" s="451" t="inlineStr">
        <is>
          <t>部經理手機</t>
        </is>
      </c>
      <c r="N1" s="371" t="inlineStr">
        <is>
          <t>處長</t>
        </is>
      </c>
      <c r="O1" s="372" t="inlineStr">
        <is>
          <t>店編</t>
        </is>
      </c>
      <c r="P1" s="372" t="inlineStr">
        <is>
          <t>上週店名</t>
        </is>
      </c>
      <c r="Q1" s="372" t="inlineStr">
        <is>
          <t>本週店名</t>
        </is>
      </c>
      <c r="R1" s="373" t="inlineStr">
        <is>
          <t>差異</t>
        </is>
      </c>
      <c r="S1" s="373" t="inlineStr">
        <is>
          <t>DEPT店名</t>
        </is>
      </c>
      <c r="T1" s="373" t="inlineStr">
        <is>
          <t>差異</t>
        </is>
      </c>
      <c r="U1" s="374" t="inlineStr">
        <is>
          <t>縣市別</t>
        </is>
      </c>
      <c r="V1" s="375" t="inlineStr">
        <is>
          <t>區域別</t>
        </is>
      </c>
      <c r="W1" s="375" t="inlineStr">
        <is>
          <t>地址</t>
        </is>
      </c>
      <c r="X1" s="375" t="inlineStr">
        <is>
          <t>部門</t>
        </is>
      </c>
      <c r="Y1" s="375" t="inlineStr">
        <is>
          <t>工程師</t>
        </is>
      </c>
      <c r="Z1" s="371" t="inlineStr">
        <is>
          <t>FVC7</t>
        </is>
      </c>
      <c r="AA1" s="371" t="inlineStr">
        <is>
          <t>撤店核對</t>
        </is>
      </c>
      <c r="AB1" s="386" t="inlineStr">
        <is>
          <t>主檔核對</t>
        </is>
      </c>
      <c r="AC1" s="386" t="inlineStr">
        <is>
          <t>HUB</t>
        </is>
      </c>
      <c r="AD1" s="386" t="inlineStr">
        <is>
          <t>屬性</t>
        </is>
      </c>
      <c r="AE1" s="386" t="inlineStr">
        <is>
          <t>機上盒</t>
        </is>
      </c>
      <c r="AF1" s="386">
        <f>首頁!B2</f>
        <v/>
      </c>
      <c r="AG1" s="386">
        <f>首頁!C2</f>
        <v/>
      </c>
      <c r="AH1" s="386">
        <f>首頁!D2</f>
        <v/>
      </c>
    </row>
    <row r="2" hidden="1"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51" t="n"/>
      <c r="N2" s="451" t="n"/>
      <c r="O2" s="372" t="n"/>
      <c r="R2" s="372" t="n"/>
      <c r="T2" s="372" t="n"/>
      <c r="U2" s="377">
        <f>IFERROR(LEFT(J2,FIND("縣",J2)),IFERROR(LEFT(J2,FIND("市",J2)),J2))</f>
        <v/>
      </c>
      <c r="V2" s="378">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78">
        <f>IFERROR(MID(J2,IFERROR(FIND("鄉",J2),IFERROR(FIND("鎮",J2),FIND("區",J2)))+1,LEN(J2)),IFERROR(MID(J2,FIND("市",J2)+1,LEN(J2)),MID(J2,FIND("縣",J2)+1,LEN(J2))))</f>
        <v/>
      </c>
      <c r="X2" s="3" t="inlineStr">
        <is>
          <t>新北一</t>
        </is>
      </c>
      <c r="Y2" s="3">
        <f>VLOOKUP(V2,門市狀態!G:H,2,FALSE)</f>
        <v/>
      </c>
      <c r="Z2" s="371" t="inlineStr">
        <is>
          <t>學校</t>
        </is>
      </c>
      <c r="AA2" s="371">
        <f>IFERROR(VLOOKUP(B2,門市狀態!A:D,4,FALSE),"")</f>
        <v/>
      </c>
      <c r="AB2" s="379">
        <f>VLOOKUP(B2,門市主檔!A:B,2,FALSE)</f>
        <v/>
      </c>
      <c r="AC2" s="380" t="n"/>
      <c r="AD2" s="379" t="inlineStr">
        <is>
          <t>學校</t>
        </is>
      </c>
      <c r="AE2" s="379" t="n"/>
      <c r="AF2" s="379" t="inlineStr">
        <is>
          <t>EDC</t>
        </is>
      </c>
      <c r="AG2" s="379" t="n"/>
      <c r="AH2" s="379" t="n"/>
    </row>
    <row r="3" hidden="1"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51" t="n"/>
      <c r="N3" s="451" t="n"/>
      <c r="O3" s="372" t="n"/>
      <c r="R3" s="372" t="n"/>
      <c r="T3" s="372" t="n"/>
      <c r="U3" s="377">
        <f>IFERROR(LEFT(J3,FIND("縣",J3)),IFERROR(LEFT(J3,FIND("市",J3)),J3))</f>
        <v/>
      </c>
      <c r="V3" s="378">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78">
        <f>IFERROR(MID(J3,IFERROR(FIND("鄉",J3),IFERROR(FIND("鎮",J3),FIND("區",J3)))+1,LEN(J3)),IFERROR(MID(J3,FIND("市",J3)+1,LEN(J3)),MID(J3,FIND("縣",J3)+1,LEN(J3))))</f>
        <v/>
      </c>
      <c r="X3" s="3" t="inlineStr">
        <is>
          <t>新北一</t>
        </is>
      </c>
      <c r="Y3" s="3">
        <f>VLOOKUP(V3,門市狀態!G:H,2,FALSE)</f>
        <v/>
      </c>
      <c r="Z3" s="371">
        <f>IF(D3="FVC7", IF(COUNTIF(特殊門市清單!N:N, B3)=0, "FVC7", VLOOKUP(B3,特殊門市清單!N:T,7,FALSE)), IF(AA3="v","Peplink",""))</f>
        <v/>
      </c>
      <c r="AA3" s="371">
        <f>IFERROR(VLOOKUP(B3,門市狀態!A:D,4,FALSE),"")</f>
        <v/>
      </c>
      <c r="AB3" s="379">
        <f>VLOOKUP(B3,門市主檔!A:B,2,FALSE)</f>
        <v/>
      </c>
      <c r="AC3" s="380" t="n"/>
      <c r="AD3" s="379" t="n"/>
      <c r="AE3" s="379" t="n"/>
      <c r="AF3" s="379" t="inlineStr">
        <is>
          <t>EDC</t>
        </is>
      </c>
      <c r="AG3" s="379" t="n"/>
      <c r="AH3" s="379" t="n"/>
    </row>
    <row r="4" hidden="1"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51" t="n"/>
      <c r="N4" s="451" t="n"/>
      <c r="O4" s="372" t="n"/>
      <c r="R4" s="372" t="n"/>
      <c r="T4" s="372" t="n"/>
      <c r="U4" s="377">
        <f>IFERROR(LEFT(J4,FIND("縣",J4)),IFERROR(LEFT(J4,FIND("市",J4)),J4))</f>
        <v/>
      </c>
      <c r="V4" s="378">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78">
        <f>IFERROR(MID(J4,IFERROR(FIND("鄉",J4),IFERROR(FIND("鎮",J4),FIND("區",J4)))+1,LEN(J4)),IFERROR(MID(J4,FIND("市",J4)+1,LEN(J4)),MID(J4,FIND("縣",J4)+1,LEN(J4))))</f>
        <v/>
      </c>
      <c r="X4" s="3" t="inlineStr">
        <is>
          <t>新北一</t>
        </is>
      </c>
      <c r="Y4" s="3">
        <f>VLOOKUP(V4,門市狀態!G:H,2,FALSE)</f>
        <v/>
      </c>
      <c r="Z4" s="371">
        <f>IF(D4="FVC7", IF(COUNTIF(特殊門市清單!N:N, B4)=0, "FVC7", VLOOKUP(B4,特殊門市清單!N:T,7,FALSE)), IF(AA4="v","Peplink",""))</f>
        <v/>
      </c>
      <c r="AA4" s="371">
        <f>IFERROR(VLOOKUP(B4,門市狀態!A:D,4,FALSE),"")</f>
        <v/>
      </c>
      <c r="AB4" s="379">
        <f>VLOOKUP(B4,門市主檔!A:B,2,FALSE)</f>
        <v/>
      </c>
      <c r="AC4" s="380" t="n"/>
      <c r="AD4" s="379" t="n"/>
      <c r="AE4" s="379" t="n"/>
      <c r="AF4" s="379" t="inlineStr">
        <is>
          <t>EDC</t>
        </is>
      </c>
      <c r="AG4" s="379" t="n"/>
      <c r="AH4" s="379" t="n"/>
    </row>
    <row r="5" hidden="1"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51" t="n"/>
      <c r="N5" s="451" t="n"/>
      <c r="O5" s="372" t="n"/>
      <c r="R5" s="372" t="n"/>
      <c r="T5" s="372" t="n"/>
      <c r="U5" s="377">
        <f>IFERROR(LEFT(J5,FIND("縣",J5)),IFERROR(LEFT(J5,FIND("市",J5)),J5))</f>
        <v/>
      </c>
      <c r="V5" s="378">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78">
        <f>IFERROR(MID(J5,IFERROR(FIND("鄉",J5),IFERROR(FIND("鎮",J5),FIND("區",J5)))+1,LEN(J5)),IFERROR(MID(J5,FIND("市",J5)+1,LEN(J5)),MID(J5,FIND("縣",J5)+1,LEN(J5))))</f>
        <v/>
      </c>
      <c r="X5" s="3" t="inlineStr">
        <is>
          <t>新北一</t>
        </is>
      </c>
      <c r="Y5" s="3">
        <f>VLOOKUP(V5,門市狀態!G:H,2,FALSE)</f>
        <v/>
      </c>
      <c r="Z5" s="371">
        <f>IF(D5="FVC7", IF(COUNTIF(特殊門市清單!N:N, B5)=0, "FVC7", VLOOKUP(B5,特殊門市清單!N:T,7,FALSE)), IF(AA5="v","Peplink",""))</f>
        <v/>
      </c>
      <c r="AA5" s="371">
        <f>IFERROR(VLOOKUP(B5,門市狀態!A:D,4,FALSE),"")</f>
        <v/>
      </c>
      <c r="AB5" s="379">
        <f>VLOOKUP(B5,門市主檔!A:B,2,FALSE)</f>
        <v/>
      </c>
      <c r="AC5" s="380" t="n"/>
      <c r="AD5" s="379" t="n"/>
      <c r="AE5" s="379" t="n"/>
      <c r="AF5" s="379" t="inlineStr">
        <is>
          <t>EDC</t>
        </is>
      </c>
      <c r="AG5" s="379" t="n"/>
      <c r="AH5" s="379" t="n"/>
    </row>
    <row r="6" hidden="1"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51" t="n"/>
      <c r="N6" s="451" t="n"/>
      <c r="O6" s="372" t="n"/>
      <c r="R6" s="372" t="n"/>
      <c r="T6" s="372" t="n"/>
      <c r="U6" s="377">
        <f>IFERROR(LEFT(J6,FIND("縣",J6)),IFERROR(LEFT(J6,FIND("市",J6)),J6))</f>
        <v/>
      </c>
      <c r="V6" s="378">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78">
        <f>IFERROR(MID(J6,IFERROR(FIND("鄉",J6),IFERROR(FIND("鎮",J6),FIND("區",J6)))+1,LEN(J6)),IFERROR(MID(J6,FIND("市",J6)+1,LEN(J6)),MID(J6,FIND("縣",J6)+1,LEN(J6))))</f>
        <v/>
      </c>
      <c r="X6" s="3" t="inlineStr">
        <is>
          <t>新北一</t>
        </is>
      </c>
      <c r="Y6" s="3">
        <f>VLOOKUP(V6,門市狀態!G:H,2,FALSE)</f>
        <v/>
      </c>
      <c r="Z6" s="371">
        <f>IF(D6="FVC7", IF(COUNTIF(特殊門市清單!N:N, B6)=0, "FVC7", VLOOKUP(B6,特殊門市清單!N:T,7,FALSE)), IF(AA6="v","Peplink",""))</f>
        <v/>
      </c>
      <c r="AA6" s="371">
        <f>IFERROR(VLOOKUP(B6,門市狀態!A:D,4,FALSE),"")</f>
        <v/>
      </c>
      <c r="AB6" s="379">
        <f>VLOOKUP(B6,門市主檔!A:B,2,FALSE)</f>
        <v/>
      </c>
      <c r="AC6" s="380" t="n"/>
      <c r="AD6" s="379" t="n"/>
      <c r="AE6" s="379" t="n"/>
      <c r="AF6" s="379" t="inlineStr">
        <is>
          <t>EDC</t>
        </is>
      </c>
      <c r="AG6" s="379" t="n"/>
      <c r="AH6" s="379" t="inlineStr">
        <is>
          <t>TVV</t>
        </is>
      </c>
    </row>
    <row r="7" hidden="1"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51" t="n"/>
      <c r="N7" s="451" t="n"/>
      <c r="O7" s="372" t="n"/>
      <c r="R7" s="372" t="n"/>
      <c r="T7" s="372" t="n"/>
      <c r="U7" s="377">
        <f>IFERROR(LEFT(J7,FIND("縣",J7)),IFERROR(LEFT(J7,FIND("市",J7)),J7))</f>
        <v/>
      </c>
      <c r="V7" s="378">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78">
        <f>IFERROR(MID(J7,IFERROR(FIND("鄉",J7),IFERROR(FIND("鎮",J7),FIND("區",J7)))+1,LEN(J7)),IFERROR(MID(J7,FIND("市",J7)+1,LEN(J7)),MID(J7,FIND("縣",J7)+1,LEN(J7))))</f>
        <v/>
      </c>
      <c r="X7" s="3" t="inlineStr">
        <is>
          <t>新北一</t>
        </is>
      </c>
      <c r="Y7" s="3">
        <f>VLOOKUP(V7,門市狀態!G:H,2,FALSE)</f>
        <v/>
      </c>
      <c r="Z7" s="371">
        <f>IF(D7="FVC7", IF(COUNTIF(特殊門市清單!N:N, B7)=0, "FVC7", VLOOKUP(B7,特殊門市清單!N:T,7,FALSE)), IF(AA7="v","Peplink",""))</f>
        <v/>
      </c>
      <c r="AA7" s="371">
        <f>IFERROR(VLOOKUP(B7,門市狀態!A:D,4,FALSE),"")</f>
        <v/>
      </c>
      <c r="AB7" s="379">
        <f>VLOOKUP(B7,門市主檔!A:B,2,FALSE)</f>
        <v/>
      </c>
      <c r="AC7" s="380" t="n"/>
      <c r="AD7" s="379" t="n"/>
      <c r="AE7" s="379" t="n"/>
      <c r="AF7" s="379" t="inlineStr">
        <is>
          <t>EDC</t>
        </is>
      </c>
      <c r="AG7" s="379" t="n"/>
      <c r="AH7" s="379" t="n"/>
    </row>
    <row r="8" hidden="1"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51" t="n"/>
      <c r="N8" s="451" t="n"/>
      <c r="O8" s="372" t="n"/>
      <c r="R8" s="372" t="n"/>
      <c r="T8" s="372" t="n"/>
      <c r="U8" s="377">
        <f>IFERROR(LEFT(J8,FIND("縣",J8)),IFERROR(LEFT(J8,FIND("市",J8)),J8))</f>
        <v/>
      </c>
      <c r="V8" s="378">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78">
        <f>IFERROR(MID(J8,IFERROR(FIND("鄉",J8),IFERROR(FIND("鎮",J8),FIND("區",J8)))+1,LEN(J8)),IFERROR(MID(J8,FIND("市",J8)+1,LEN(J8)),MID(J8,FIND("縣",J8)+1,LEN(J8))))</f>
        <v/>
      </c>
      <c r="X8" s="3" t="inlineStr">
        <is>
          <t>新北一</t>
        </is>
      </c>
      <c r="Y8" s="3">
        <f>VLOOKUP(V8,門市狀態!G:H,2,FALSE)</f>
        <v/>
      </c>
      <c r="Z8" s="371">
        <f>IF(D8="FVC7", IF(COUNTIF(特殊門市清單!N:N, B8)=0, "FVC7", VLOOKUP(B8,特殊門市清單!N:T,7,FALSE)), IF(AA8="v","Peplink",""))</f>
        <v/>
      </c>
      <c r="AA8" s="371">
        <f>IFERROR(VLOOKUP(B8,門市狀態!A:D,4,FALSE),"")</f>
        <v/>
      </c>
      <c r="AB8" s="379">
        <f>VLOOKUP(B8,門市主檔!A:B,2,FALSE)</f>
        <v/>
      </c>
      <c r="AC8" s="380" t="n"/>
      <c r="AD8" s="379" t="n"/>
      <c r="AE8" s="379" t="n"/>
      <c r="AF8" s="379" t="inlineStr">
        <is>
          <t>EDC</t>
        </is>
      </c>
      <c r="AG8" s="379" t="n"/>
      <c r="AH8" s="379" t="n"/>
    </row>
    <row r="9" hidden="1"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51" t="n"/>
      <c r="N9" s="451" t="n"/>
      <c r="O9" s="372" t="n"/>
      <c r="R9" s="372" t="n"/>
      <c r="T9" s="372" t="n"/>
      <c r="U9" s="377">
        <f>IFERROR(LEFT(J9,FIND("縣",J9)),IFERROR(LEFT(J9,FIND("市",J9)),J9))</f>
        <v/>
      </c>
      <c r="V9" s="378">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78">
        <f>IFERROR(MID(J9,IFERROR(FIND("鄉",J9),IFERROR(FIND("鎮",J9),FIND("區",J9)))+1,LEN(J9)),IFERROR(MID(J9,FIND("市",J9)+1,LEN(J9)),MID(J9,FIND("縣",J9)+1,LEN(J9))))</f>
        <v/>
      </c>
      <c r="X9" s="3" t="inlineStr">
        <is>
          <t>新北一</t>
        </is>
      </c>
      <c r="Y9" s="3">
        <f>VLOOKUP(V9,門市狀態!G:H,2,FALSE)</f>
        <v/>
      </c>
      <c r="Z9" s="371">
        <f>IF(D9="FVC7", IF(COUNTIF(特殊門市清單!N:N, B9)=0, "FVC7", VLOOKUP(B9,特殊門市清單!N:T,7,FALSE)), IF(AA9="v","Peplink",""))</f>
        <v/>
      </c>
      <c r="AA9" s="371">
        <f>IFERROR(VLOOKUP(B9,門市狀態!A:D,4,FALSE),"")</f>
        <v/>
      </c>
      <c r="AB9" s="379">
        <f>VLOOKUP(B9,門市主檔!A:B,2,FALSE)</f>
        <v/>
      </c>
      <c r="AC9" s="380" t="n"/>
      <c r="AD9" s="379" t="n"/>
      <c r="AE9" s="379" t="n"/>
      <c r="AF9" s="379" t="inlineStr">
        <is>
          <t>EDC</t>
        </is>
      </c>
      <c r="AG9" s="379" t="n"/>
      <c r="AH9" s="379" t="n"/>
    </row>
    <row r="10" hidden="1"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51" t="n"/>
      <c r="N10" s="451" t="n"/>
      <c r="O10" s="372" t="n"/>
      <c r="R10" s="372" t="n"/>
      <c r="T10" s="372" t="n"/>
      <c r="U10" s="377">
        <f>IFERROR(LEFT(J10,FIND("縣",J10)),IFERROR(LEFT(J10,FIND("市",J10)),J10))</f>
        <v/>
      </c>
      <c r="V10" s="378">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78">
        <f>IFERROR(MID(J10,IFERROR(FIND("鄉",J10),IFERROR(FIND("鎮",J10),FIND("區",J10)))+1,LEN(J10)),IFERROR(MID(J10,FIND("市",J10)+1,LEN(J10)),MID(J10,FIND("縣",J10)+1,LEN(J10))))</f>
        <v/>
      </c>
      <c r="X10" s="3" t="inlineStr">
        <is>
          <t>新北一</t>
        </is>
      </c>
      <c r="Y10" s="3">
        <f>VLOOKUP(V10,門市狀態!G:H,2,FALSE)</f>
        <v/>
      </c>
      <c r="Z10" s="371">
        <f>IF(D10="FVC7", IF(COUNTIF(特殊門市清單!N:N, B10)=0, "FVC7", VLOOKUP(B10,特殊門市清單!N:T,7,FALSE)), IF(AA10="v","Peplink",""))</f>
        <v/>
      </c>
      <c r="AA10" s="371">
        <f>IFERROR(VLOOKUP(B10,門市狀態!A:D,4,FALSE),"")</f>
        <v/>
      </c>
      <c r="AB10" s="379">
        <f>VLOOKUP(B10,門市主檔!A:B,2,FALSE)</f>
        <v/>
      </c>
      <c r="AC10" s="380" t="n"/>
      <c r="AD10" s="379" t="n"/>
      <c r="AE10" s="379" t="n"/>
      <c r="AF10" s="379" t="inlineStr">
        <is>
          <t>EDC</t>
        </is>
      </c>
      <c r="AG10" s="379" t="n"/>
      <c r="AH10" s="379" t="n"/>
    </row>
    <row r="11" hidden="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51" t="n"/>
      <c r="N11" s="451" t="n"/>
      <c r="O11" s="372" t="n"/>
      <c r="R11" s="372" t="n"/>
      <c r="T11" s="372" t="n"/>
      <c r="U11" s="377">
        <f>IFERROR(LEFT(J11,FIND("縣",J11)),IFERROR(LEFT(J11,FIND("市",J11)),J11))</f>
        <v/>
      </c>
      <c r="V11" s="378">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78">
        <f>IFERROR(MID(J11,IFERROR(FIND("鄉",J11),IFERROR(FIND("鎮",J11),FIND("區",J11)))+1,LEN(J11)),IFERROR(MID(J11,FIND("市",J11)+1,LEN(J11)),MID(J11,FIND("縣",J11)+1,LEN(J11))))</f>
        <v/>
      </c>
      <c r="X11" s="3" t="inlineStr">
        <is>
          <t>新北一</t>
        </is>
      </c>
      <c r="Y11" s="3">
        <f>VLOOKUP(V11,門市狀態!G:H,2,FALSE)</f>
        <v/>
      </c>
      <c r="Z11" s="371">
        <f>IF(D11="FVC7", IF(COUNTIF(特殊門市清單!N:N, B11)=0, "FVC7", VLOOKUP(B11,特殊門市清單!N:T,7,FALSE)), IF(AA11="v","Peplink",""))</f>
        <v/>
      </c>
      <c r="AA11" s="371">
        <f>IFERROR(VLOOKUP(B11,門市狀態!A:D,4,FALSE),"")</f>
        <v/>
      </c>
      <c r="AB11" s="379">
        <f>VLOOKUP(B11,門市主檔!A:B,2,FALSE)</f>
        <v/>
      </c>
      <c r="AC11" s="380" t="n"/>
      <c r="AD11" s="379" t="n"/>
      <c r="AE11" s="379" t="n"/>
      <c r="AF11" s="379" t="inlineStr">
        <is>
          <t>EDC</t>
        </is>
      </c>
      <c r="AG11" s="379" t="n"/>
      <c r="AH11" s="379" t="n"/>
    </row>
    <row r="12" hidden="1"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51" t="n"/>
      <c r="N12" s="451" t="n"/>
      <c r="O12" s="372" t="n"/>
      <c r="R12" s="372" t="n"/>
      <c r="T12" s="372" t="n"/>
      <c r="U12" s="377">
        <f>IFERROR(LEFT(J12,FIND("縣",J12)),IFERROR(LEFT(J12,FIND("市",J12)),J12))</f>
        <v/>
      </c>
      <c r="V12" s="378">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78">
        <f>IFERROR(MID(J12,IFERROR(FIND("鄉",J12),IFERROR(FIND("鎮",J12),FIND("區",J12)))+1,LEN(J12)),IFERROR(MID(J12,FIND("市",J12)+1,LEN(J12)),MID(J12,FIND("縣",J12)+1,LEN(J12))))</f>
        <v/>
      </c>
      <c r="X12" s="3" t="inlineStr">
        <is>
          <t>新北一</t>
        </is>
      </c>
      <c r="Y12" s="3">
        <f>VLOOKUP(V12,門市狀態!G:H,2,FALSE)</f>
        <v/>
      </c>
      <c r="Z12" s="371">
        <f>IF(D12="FVC7", IF(COUNTIF(特殊門市清單!N:N, B12)=0, "FVC7", VLOOKUP(B12,特殊門市清單!N:T,7,FALSE)), IF(AA12="v","Peplink",""))</f>
        <v/>
      </c>
      <c r="AA12" s="371">
        <f>IFERROR(VLOOKUP(B12,門市狀態!A:D,4,FALSE),"")</f>
        <v/>
      </c>
      <c r="AB12" s="379">
        <f>VLOOKUP(B12,門市主檔!A:B,2,FALSE)</f>
        <v/>
      </c>
      <c r="AC12" s="380" t="n"/>
      <c r="AD12" s="379" t="n"/>
      <c r="AE12" s="379" t="n"/>
      <c r="AF12" s="379" t="inlineStr">
        <is>
          <t>EDC</t>
        </is>
      </c>
      <c r="AG12" s="379" t="n"/>
      <c r="AH12" s="379" t="n"/>
    </row>
    <row r="13" hidden="1"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51" t="n"/>
      <c r="N13" s="451" t="n"/>
      <c r="O13" s="372" t="n"/>
      <c r="R13" s="372" t="n"/>
      <c r="T13" s="372" t="n"/>
      <c r="U13" s="377">
        <f>IFERROR(LEFT(J13,FIND("縣",J13)),IFERROR(LEFT(J13,FIND("市",J13)),J13))</f>
        <v/>
      </c>
      <c r="V13" s="378">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78">
        <f>IFERROR(MID(J13,IFERROR(FIND("鄉",J13),IFERROR(FIND("鎮",J13),FIND("區",J13)))+1,LEN(J13)),IFERROR(MID(J13,FIND("市",J13)+1,LEN(J13)),MID(J13,FIND("縣",J13)+1,LEN(J13))))</f>
        <v/>
      </c>
      <c r="X13" s="3" t="inlineStr">
        <is>
          <t>新北一</t>
        </is>
      </c>
      <c r="Y13" s="3">
        <f>VLOOKUP(V13,門市狀態!G:H,2,FALSE)</f>
        <v/>
      </c>
      <c r="Z13" s="371">
        <f>IF(D13="FVC7", IF(COUNTIF(特殊門市清單!N:N, B13)=0, "FVC7", VLOOKUP(B13,特殊門市清單!N:T,7,FALSE)), IF(AA13="v","Peplink",""))</f>
        <v/>
      </c>
      <c r="AA13" s="371">
        <f>IFERROR(VLOOKUP(B13,門市狀態!A:D,4,FALSE),"")</f>
        <v/>
      </c>
      <c r="AB13" s="379">
        <f>VLOOKUP(B13,門市主檔!A:B,2,FALSE)</f>
        <v/>
      </c>
      <c r="AC13" s="380" t="inlineStr">
        <is>
          <t>HUB</t>
        </is>
      </c>
      <c r="AD13" s="379" t="n"/>
      <c r="AE13" s="379" t="inlineStr">
        <is>
          <t>機上盒</t>
        </is>
      </c>
      <c r="AF13" s="379" t="inlineStr">
        <is>
          <t>EDC</t>
        </is>
      </c>
      <c r="AG13" s="379" t="n"/>
      <c r="AH13" s="379" t="n"/>
    </row>
    <row r="14" hidden="1"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51" t="n"/>
      <c r="N14" s="451" t="n"/>
      <c r="O14" s="372" t="n"/>
      <c r="R14" s="372" t="n"/>
      <c r="T14" s="372" t="n"/>
      <c r="U14" s="377">
        <f>IFERROR(LEFT(J14,FIND("縣",J14)),IFERROR(LEFT(J14,FIND("市",J14)),J14))</f>
        <v/>
      </c>
      <c r="V14" s="378">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78">
        <f>IFERROR(MID(J14,IFERROR(FIND("鄉",J14),IFERROR(FIND("鎮",J14),FIND("區",J14)))+1,LEN(J14)),IFERROR(MID(J14,FIND("市",J14)+1,LEN(J14)),MID(J14,FIND("縣",J14)+1,LEN(J14))))</f>
        <v/>
      </c>
      <c r="X14" s="3" t="inlineStr">
        <is>
          <t>新北一</t>
        </is>
      </c>
      <c r="Y14" s="3">
        <f>VLOOKUP(V14,門市狀態!G:H,2,FALSE)</f>
        <v/>
      </c>
      <c r="Z14" s="371">
        <f>IF(D14="FVC7", IF(COUNTIF(特殊門市清單!N:N, B14)=0, "FVC7", VLOOKUP(B14,特殊門市清單!N:T,7,FALSE)), IF(AA14="v","Peplink",""))</f>
        <v/>
      </c>
      <c r="AA14" s="371">
        <f>IFERROR(VLOOKUP(B14,門市狀態!A:D,4,FALSE),"")</f>
        <v/>
      </c>
      <c r="AB14" s="379">
        <f>VLOOKUP(B14,門市主檔!A:B,2,FALSE)</f>
        <v/>
      </c>
      <c r="AC14" s="380" t="n"/>
      <c r="AD14" s="379" t="n"/>
      <c r="AE14" s="379" t="inlineStr">
        <is>
          <t>機上盒</t>
        </is>
      </c>
      <c r="AF14" s="379" t="inlineStr">
        <is>
          <t>EDC</t>
        </is>
      </c>
      <c r="AG14" s="379" t="n"/>
      <c r="AH14" s="379" t="n"/>
    </row>
    <row r="15" hidden="1"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51" t="n"/>
      <c r="N15" s="451" t="n"/>
      <c r="O15" s="372" t="n"/>
      <c r="R15" s="372" t="n"/>
      <c r="T15" s="372" t="n"/>
      <c r="U15" s="377">
        <f>IFERROR(LEFT(J15,FIND("縣",J15)),IFERROR(LEFT(J15,FIND("市",J15)),J15))</f>
        <v/>
      </c>
      <c r="V15" s="378">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78">
        <f>IFERROR(MID(J15,IFERROR(FIND("鄉",J15),IFERROR(FIND("鎮",J15),FIND("區",J15)))+1,LEN(J15)),IFERROR(MID(J15,FIND("市",J15)+1,LEN(J15)),MID(J15,FIND("縣",J15)+1,LEN(J15))))</f>
        <v/>
      </c>
      <c r="X15" s="3" t="inlineStr">
        <is>
          <t>新北一</t>
        </is>
      </c>
      <c r="Y15" s="3">
        <f>VLOOKUP(V15,門市狀態!G:H,2,FALSE)</f>
        <v/>
      </c>
      <c r="Z15" s="371">
        <f>IF(D15="FVC7", IF(COUNTIF(特殊門市清單!N:N, B15)=0, "FVC7", VLOOKUP(B15,特殊門市清單!N:T,7,FALSE)), IF(AA15="v","Peplink",""))</f>
        <v/>
      </c>
      <c r="AA15" s="371">
        <f>IFERROR(VLOOKUP(B15,門市狀態!A:D,4,FALSE),"")</f>
        <v/>
      </c>
      <c r="AB15" s="379">
        <f>VLOOKUP(B15,門市主檔!A:B,2,FALSE)</f>
        <v/>
      </c>
      <c r="AC15" s="380" t="n"/>
      <c r="AD15" s="379" t="n"/>
      <c r="AE15" s="379" t="n"/>
      <c r="AF15" s="379" t="inlineStr">
        <is>
          <t>EDC</t>
        </is>
      </c>
      <c r="AG15" s="379" t="n"/>
      <c r="AH15" s="379" t="n"/>
    </row>
    <row r="16" hidden="1"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51" t="n"/>
      <c r="N16" s="451" t="n"/>
      <c r="O16" s="372" t="n"/>
      <c r="R16" s="372" t="n"/>
      <c r="T16" s="372" t="n"/>
      <c r="U16" s="377">
        <f>IFERROR(LEFT(J16,FIND("縣",J16)),IFERROR(LEFT(J16,FIND("市",J16)),J16))</f>
        <v/>
      </c>
      <c r="V16" s="378">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78">
        <f>IFERROR(MID(J16,IFERROR(FIND("鄉",J16),IFERROR(FIND("鎮",J16),FIND("區",J16)))+1,LEN(J16)),IFERROR(MID(J16,FIND("市",J16)+1,LEN(J16)),MID(J16,FIND("縣",J16)+1,LEN(J16))))</f>
        <v/>
      </c>
      <c r="X16" s="3" t="inlineStr">
        <is>
          <t>新北一</t>
        </is>
      </c>
      <c r="Y16" s="3">
        <f>VLOOKUP(V16,門市狀態!G:H,2,FALSE)</f>
        <v/>
      </c>
      <c r="Z16" s="371">
        <f>IF(D16="FVC7", IF(COUNTIF(特殊門市清單!N:N, B16)=0, "FVC7", VLOOKUP(B16,特殊門市清單!N:T,7,FALSE)), IF(AA16="v","Peplink",""))</f>
        <v/>
      </c>
      <c r="AA16" s="371">
        <f>IFERROR(VLOOKUP(B16,門市狀態!A:D,4,FALSE),"")</f>
        <v/>
      </c>
      <c r="AB16" s="379">
        <f>VLOOKUP(B16,門市主檔!A:B,2,FALSE)</f>
        <v/>
      </c>
      <c r="AC16" s="380" t="n"/>
      <c r="AD16" s="379" t="n"/>
      <c r="AE16" s="379" t="n"/>
      <c r="AF16" s="379" t="inlineStr">
        <is>
          <t>EDC</t>
        </is>
      </c>
      <c r="AG16" s="379" t="n"/>
      <c r="AH16" s="379" t="n"/>
    </row>
    <row r="17" hidden="1" ht="21.6" customHeight="1" s="105">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51" t="n"/>
      <c r="N17" s="451" t="n"/>
      <c r="O17" s="372" t="n"/>
      <c r="R17" s="372" t="n"/>
      <c r="T17" s="372" t="n"/>
      <c r="U17" s="377">
        <f>IFERROR(LEFT(J17,FIND("縣",J17)),IFERROR(LEFT(J17,FIND("市",J17)),J17))</f>
        <v/>
      </c>
      <c r="V17" s="378">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78">
        <f>IFERROR(MID(J17,IFERROR(FIND("鄉",J17),IFERROR(FIND("鎮",J17),FIND("區",J17)))+1,LEN(J17)),IFERROR(MID(J17,FIND("市",J17)+1,LEN(J17)),MID(J17,FIND("縣",J17)+1,LEN(J17))))</f>
        <v/>
      </c>
      <c r="X17" s="3" t="inlineStr">
        <is>
          <t>新北一</t>
        </is>
      </c>
      <c r="Y17" s="3">
        <f>VLOOKUP(V17,門市狀態!G:H,2,FALSE)</f>
        <v/>
      </c>
      <c r="Z17" s="371">
        <f>IF(D17="FVC7", IF(COUNTIF(特殊門市清單!N:N, B17)=0, "FVC7", VLOOKUP(B17,特殊門市清單!N:T,7,FALSE)), IF(AA17="v","Peplink",""))</f>
        <v/>
      </c>
      <c r="AA17" s="371">
        <f>IFERROR(VLOOKUP(B17,門市狀態!A:D,4,FALSE),"")</f>
        <v/>
      </c>
      <c r="AB17" s="379">
        <f>VLOOKUP(B17,門市主檔!A:B,2,FALSE)</f>
        <v/>
      </c>
      <c r="AC17" s="380" t="n"/>
      <c r="AD17" s="379" t="n"/>
      <c r="AE17" s="379" t="n"/>
      <c r="AF17" s="379" t="inlineStr">
        <is>
          <t>EDC</t>
        </is>
      </c>
      <c r="AG17" s="379" t="n"/>
      <c r="AH17" s="379" t="n"/>
    </row>
    <row r="18" hidden="1" ht="21.6" customHeight="1" s="105">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51" t="n"/>
      <c r="N18" s="451" t="n"/>
      <c r="O18" s="372" t="n"/>
      <c r="R18" s="372" t="n"/>
      <c r="T18" s="372" t="n"/>
      <c r="U18" s="377">
        <f>IFERROR(LEFT(J18,FIND("縣",J18)),IFERROR(LEFT(J18,FIND("市",J18)),J18))</f>
        <v/>
      </c>
      <c r="V18" s="378">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78">
        <f>IFERROR(MID(J18,IFERROR(FIND("鄉",J18),IFERROR(FIND("鎮",J18),FIND("區",J18)))+1,LEN(J18)),IFERROR(MID(J18,FIND("市",J18)+1,LEN(J18)),MID(J18,FIND("縣",J18)+1,LEN(J18))))</f>
        <v/>
      </c>
      <c r="X18" s="3" t="inlineStr">
        <is>
          <t>新北一</t>
        </is>
      </c>
      <c r="Y18" s="3">
        <f>VLOOKUP(V18,門市狀態!G:H,2,FALSE)</f>
        <v/>
      </c>
      <c r="Z18" s="371">
        <f>IF(D18="FVC7", IF(COUNTIF(特殊門市清單!N:N, B18)=0, "FVC7", VLOOKUP(B18,特殊門市清單!N:T,7,FALSE)), IF(AA18="v","Peplink",""))</f>
        <v/>
      </c>
      <c r="AA18" s="371">
        <f>IFERROR(VLOOKUP(B18,門市狀態!A:D,4,FALSE),"")</f>
        <v/>
      </c>
      <c r="AB18" s="379">
        <f>VLOOKUP(B18,門市主檔!A:B,2,FALSE)</f>
        <v/>
      </c>
      <c r="AC18" s="380" t="n"/>
      <c r="AD18" s="379" t="n"/>
      <c r="AE18" s="379" t="n"/>
      <c r="AF18" s="379" t="inlineStr">
        <is>
          <t>EDC</t>
        </is>
      </c>
      <c r="AG18" s="379" t="n"/>
      <c r="AH18" s="379" t="n"/>
    </row>
    <row r="19" hidden="1"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51" t="n"/>
      <c r="N19" s="451" t="n"/>
      <c r="O19" s="372" t="n"/>
      <c r="R19" s="372" t="n"/>
      <c r="T19" s="372" t="n"/>
      <c r="U19" s="377">
        <f>IFERROR(LEFT(J19,FIND("縣",J19)),IFERROR(LEFT(J19,FIND("市",J19)),J19))</f>
        <v/>
      </c>
      <c r="V19" s="378">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78">
        <f>IFERROR(MID(J19,IFERROR(FIND("鄉",J19),IFERROR(FIND("鎮",J19),FIND("區",J19)))+1,LEN(J19)),IFERROR(MID(J19,FIND("市",J19)+1,LEN(J19)),MID(J19,FIND("縣",J19)+1,LEN(J19))))</f>
        <v/>
      </c>
      <c r="X19" s="3" t="inlineStr">
        <is>
          <t>新北一</t>
        </is>
      </c>
      <c r="Y19" s="3">
        <f>VLOOKUP(V19,門市狀態!G:H,2,FALSE)</f>
        <v/>
      </c>
      <c r="Z19" s="371">
        <f>IF(D19="FVC7", IF(COUNTIF(特殊門市清單!N:N, B19)=0, "FVC7", VLOOKUP(B19,特殊門市清單!N:T,7,FALSE)), IF(AA19="v","Peplink",""))</f>
        <v/>
      </c>
      <c r="AA19" s="371">
        <f>IFERROR(VLOOKUP(B19,門市狀態!A:D,4,FALSE),"")</f>
        <v/>
      </c>
      <c r="AB19" s="379">
        <f>VLOOKUP(B19,門市主檔!A:B,2,FALSE)</f>
        <v/>
      </c>
      <c r="AC19" s="380" t="n"/>
      <c r="AD19" s="379" t="n"/>
      <c r="AE19" s="379" t="n"/>
      <c r="AF19" s="379" t="inlineStr">
        <is>
          <t>EDC</t>
        </is>
      </c>
      <c r="AG19" s="379" t="n"/>
      <c r="AH19" s="379" t="n"/>
    </row>
    <row r="20" hidden="1"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51" t="n"/>
      <c r="N20" s="451" t="n"/>
      <c r="O20" s="372" t="n"/>
      <c r="R20" s="372" t="n"/>
      <c r="T20" s="372" t="n"/>
      <c r="U20" s="377">
        <f>IFERROR(LEFT(J20,FIND("縣",J20)),IFERROR(LEFT(J20,FIND("市",J20)),J20))</f>
        <v/>
      </c>
      <c r="V20" s="378">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78">
        <f>IFERROR(MID(J20,IFERROR(FIND("鄉",J20),IFERROR(FIND("鎮",J20),FIND("區",J20)))+1,LEN(J20)),IFERROR(MID(J20,FIND("市",J20)+1,LEN(J20)),MID(J20,FIND("縣",J20)+1,LEN(J20))))</f>
        <v/>
      </c>
      <c r="X20" s="3" t="inlineStr">
        <is>
          <t>新北一</t>
        </is>
      </c>
      <c r="Y20" s="3">
        <f>VLOOKUP(V20,門市狀態!G:H,2,FALSE)</f>
        <v/>
      </c>
      <c r="Z20" s="371">
        <f>IF(D20="FVC7", IF(COUNTIF(特殊門市清單!N:N, B20)=0, "FVC7", VLOOKUP(B20,特殊門市清單!N:T,7,FALSE)), IF(AA20="v","Peplink",""))</f>
        <v/>
      </c>
      <c r="AA20" s="371">
        <f>IFERROR(VLOOKUP(B20,門市狀態!A:D,4,FALSE),"")</f>
        <v/>
      </c>
      <c r="AB20" s="379">
        <f>VLOOKUP(B20,門市主檔!A:B,2,FALSE)</f>
        <v/>
      </c>
      <c r="AC20" s="380" t="n"/>
      <c r="AD20" s="379" t="n"/>
      <c r="AE20" s="379" t="n"/>
      <c r="AF20" s="379" t="inlineStr">
        <is>
          <t>EDC</t>
        </is>
      </c>
      <c r="AG20" s="379" t="n"/>
      <c r="AH20" s="379" t="n"/>
    </row>
    <row r="21" hidden="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51" t="n"/>
      <c r="N21" s="451" t="n"/>
      <c r="O21" s="372" t="n"/>
      <c r="R21" s="372" t="n"/>
      <c r="T21" s="372" t="n"/>
      <c r="U21" s="377">
        <f>IFERROR(LEFT(J21,FIND("縣",J21)),IFERROR(LEFT(J21,FIND("市",J21)),J21))</f>
        <v/>
      </c>
      <c r="V21" s="378">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78">
        <f>IFERROR(MID(J21,IFERROR(FIND("鄉",J21),IFERROR(FIND("鎮",J21),FIND("區",J21)))+1,LEN(J21)),IFERROR(MID(J21,FIND("市",J21)+1,LEN(J21)),MID(J21,FIND("縣",J21)+1,LEN(J21))))</f>
        <v/>
      </c>
      <c r="X21" s="3" t="inlineStr">
        <is>
          <t>新北一</t>
        </is>
      </c>
      <c r="Y21" s="3">
        <f>VLOOKUP(V21,門市狀態!G:H,2,FALSE)</f>
        <v/>
      </c>
      <c r="Z21" s="371">
        <f>IF(D21="FVC7", IF(COUNTIF(特殊門市清單!N:N, B21)=0, "FVC7", VLOOKUP(B21,特殊門市清單!N:T,7,FALSE)), IF(AA21="v","Peplink",""))</f>
        <v/>
      </c>
      <c r="AA21" s="371">
        <f>IFERROR(VLOOKUP(B21,門市狀態!A:D,4,FALSE),"")</f>
        <v/>
      </c>
      <c r="AB21" s="379">
        <f>VLOOKUP(B21,門市主檔!A:B,2,FALSE)</f>
        <v/>
      </c>
      <c r="AC21" s="380" t="n"/>
      <c r="AD21" s="379" t="n"/>
      <c r="AE21" s="379" t="n"/>
      <c r="AF21" s="379" t="inlineStr">
        <is>
          <t>EDC</t>
        </is>
      </c>
      <c r="AG21" s="379" t="n"/>
      <c r="AH21" s="379" t="n"/>
    </row>
    <row r="22" hidden="1"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51" t="n"/>
      <c r="N22" s="451" t="n"/>
      <c r="O22" s="372" t="n"/>
      <c r="R22" s="372" t="n"/>
      <c r="T22" s="372" t="n"/>
      <c r="U22" s="377">
        <f>IFERROR(LEFT(J22,FIND("縣",J22)),IFERROR(LEFT(J22,FIND("市",J22)),J22))</f>
        <v/>
      </c>
      <c r="V22" s="378">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78">
        <f>IFERROR(MID(J22,IFERROR(FIND("鄉",J22),IFERROR(FIND("鎮",J22),FIND("區",J22)))+1,LEN(J22)),IFERROR(MID(J22,FIND("市",J22)+1,LEN(J22)),MID(J22,FIND("縣",J22)+1,LEN(J22))))</f>
        <v/>
      </c>
      <c r="X22" s="3" t="inlineStr">
        <is>
          <t>新北一</t>
        </is>
      </c>
      <c r="Y22" s="3">
        <f>VLOOKUP(V22,門市狀態!G:H,2,FALSE)</f>
        <v/>
      </c>
      <c r="Z22" s="371">
        <f>IF(D22="FVC7", IF(COUNTIF(特殊門市清單!N:N, B22)=0, "FVC7", VLOOKUP(B22,特殊門市清單!N:T,7,FALSE)), IF(AA22="v","Peplink",""))</f>
        <v/>
      </c>
      <c r="AA22" s="371">
        <f>IFERROR(VLOOKUP(B22,門市狀態!A:D,4,FALSE),"")</f>
        <v/>
      </c>
      <c r="AB22" s="379">
        <f>VLOOKUP(B22,門市主檔!A:B,2,FALSE)</f>
        <v/>
      </c>
      <c r="AC22" s="380" t="n"/>
      <c r="AD22" s="379" t="n"/>
      <c r="AE22" s="379" t="inlineStr">
        <is>
          <t>機上盒</t>
        </is>
      </c>
      <c r="AF22" s="379" t="inlineStr">
        <is>
          <t>EDC</t>
        </is>
      </c>
      <c r="AG22" s="379" t="n"/>
      <c r="AH22" s="379" t="n"/>
    </row>
    <row r="23" hidden="1" ht="21.6" customHeight="1" s="105">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51" t="n"/>
      <c r="N23" s="451" t="n"/>
      <c r="O23" s="372" t="n"/>
      <c r="R23" s="372" t="n"/>
      <c r="T23" s="372" t="n"/>
      <c r="U23" s="377">
        <f>IFERROR(LEFT(J23,FIND("縣",J23)),IFERROR(LEFT(J23,FIND("市",J23)),J23))</f>
        <v/>
      </c>
      <c r="V23" s="378">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78">
        <f>IFERROR(MID(J23,IFERROR(FIND("鄉",J23),IFERROR(FIND("鎮",J23),FIND("區",J23)))+1,LEN(J23)),IFERROR(MID(J23,FIND("市",J23)+1,LEN(J23)),MID(J23,FIND("縣",J23)+1,LEN(J23))))</f>
        <v/>
      </c>
      <c r="X23" s="3" t="inlineStr">
        <is>
          <t>新北一</t>
        </is>
      </c>
      <c r="Y23" s="3">
        <f>VLOOKUP(V23,門市狀態!G:H,2,FALSE)</f>
        <v/>
      </c>
      <c r="Z23" s="371">
        <f>IF(D23="FVC7", IF(COUNTIF(特殊門市清單!N:N, B23)=0, "FVC7", VLOOKUP(B23,特殊門市清單!N:T,7,FALSE)), IF(AA23="v","Peplink",""))</f>
        <v/>
      </c>
      <c r="AA23" s="371">
        <f>IFERROR(VLOOKUP(B23,門市狀態!A:D,4,FALSE),"")</f>
        <v/>
      </c>
      <c r="AB23" s="379">
        <f>VLOOKUP(B23,門市主檔!A:B,2,FALSE)</f>
        <v/>
      </c>
      <c r="AC23" s="380" t="n"/>
      <c r="AD23" s="379" t="n"/>
      <c r="AE23" s="379" t="inlineStr">
        <is>
          <t>機上盒</t>
        </is>
      </c>
      <c r="AF23" s="379" t="inlineStr">
        <is>
          <t>EDC</t>
        </is>
      </c>
      <c r="AG23" s="379" t="n"/>
      <c r="AH23" s="379" t="n"/>
    </row>
    <row r="24" hidden="1"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51" t="n"/>
      <c r="N24" s="451" t="n"/>
      <c r="O24" s="372" t="n"/>
      <c r="R24" s="372" t="n"/>
      <c r="T24" s="372" t="n"/>
      <c r="U24" s="377">
        <f>IFERROR(LEFT(J24,FIND("縣",J24)),IFERROR(LEFT(J24,FIND("市",J24)),J24))</f>
        <v/>
      </c>
      <c r="V24" s="378">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78">
        <f>IFERROR(MID(J24,IFERROR(FIND("鄉",J24),IFERROR(FIND("鎮",J24),FIND("區",J24)))+1,LEN(J24)),IFERROR(MID(J24,FIND("市",J24)+1,LEN(J24)),MID(J24,FIND("縣",J24)+1,LEN(J24))))</f>
        <v/>
      </c>
      <c r="X24" s="3" t="inlineStr">
        <is>
          <t>新北一</t>
        </is>
      </c>
      <c r="Y24" s="3">
        <f>VLOOKUP(V24,門市狀態!G:H,2,FALSE)</f>
        <v/>
      </c>
      <c r="Z24" s="371">
        <f>IF(D24="FVC7", IF(COUNTIF(特殊門市清單!N:N, B24)=0, "FVC7", VLOOKUP(B24,特殊門市清單!N:T,7,FALSE)), IF(AA24="v","Peplink",""))</f>
        <v/>
      </c>
      <c r="AA24" s="371">
        <f>IFERROR(VLOOKUP(B24,門市狀態!A:D,4,FALSE),"")</f>
        <v/>
      </c>
      <c r="AB24" s="379">
        <f>VLOOKUP(B24,門市主檔!A:B,2,FALSE)</f>
        <v/>
      </c>
      <c r="AC24" s="380" t="n"/>
      <c r="AD24" s="379" t="n"/>
      <c r="AE24" s="379" t="n"/>
      <c r="AF24" s="379" t="inlineStr">
        <is>
          <t>EDC</t>
        </is>
      </c>
      <c r="AG24" s="379" t="n"/>
      <c r="AH24" s="379" t="inlineStr">
        <is>
          <t>TVV</t>
        </is>
      </c>
    </row>
    <row r="25" hidden="1"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51" t="n"/>
      <c r="N25" s="451" t="n"/>
      <c r="O25" s="372" t="n"/>
      <c r="R25" s="372" t="n"/>
      <c r="T25" s="372" t="n"/>
      <c r="U25" s="377">
        <f>IFERROR(LEFT(J25,FIND("縣",J25)),IFERROR(LEFT(J25,FIND("市",J25)),J25))</f>
        <v/>
      </c>
      <c r="V25" s="378">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78">
        <f>IFERROR(MID(J25,IFERROR(FIND("鄉",J25),IFERROR(FIND("鎮",J25),FIND("區",J25)))+1,LEN(J25)),IFERROR(MID(J25,FIND("市",J25)+1,LEN(J25)),MID(J25,FIND("縣",J25)+1,LEN(J25))))</f>
        <v/>
      </c>
      <c r="X25" s="3" t="inlineStr">
        <is>
          <t>新北一</t>
        </is>
      </c>
      <c r="Y25" s="3">
        <f>VLOOKUP(V25,門市狀態!G:H,2,FALSE)</f>
        <v/>
      </c>
      <c r="Z25" s="371">
        <f>IF(D25="FVC7", IF(COUNTIF(特殊門市清單!N:N, B25)=0, "FVC7", VLOOKUP(B25,特殊門市清單!N:T,7,FALSE)), IF(AA25="v","Peplink",""))</f>
        <v/>
      </c>
      <c r="AA25" s="371">
        <f>IFERROR(VLOOKUP(B25,門市狀態!A:D,4,FALSE),"")</f>
        <v/>
      </c>
      <c r="AB25" s="379">
        <f>VLOOKUP(B25,門市主檔!A:B,2,FALSE)</f>
        <v/>
      </c>
      <c r="AC25" s="380" t="n"/>
      <c r="AD25" s="379" t="n"/>
      <c r="AE25" s="379" t="inlineStr">
        <is>
          <t>機上盒</t>
        </is>
      </c>
      <c r="AF25" s="379" t="inlineStr">
        <is>
          <t>EDC</t>
        </is>
      </c>
      <c r="AG25" s="379" t="n"/>
      <c r="AH25" s="379" t="n"/>
    </row>
    <row r="26" hidden="1"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51" t="n"/>
      <c r="N26" s="451" t="n"/>
      <c r="O26" s="372" t="n"/>
      <c r="R26" s="372" t="n"/>
      <c r="T26" s="372" t="n"/>
      <c r="U26" s="377">
        <f>IFERROR(LEFT(J26,FIND("縣",J26)),IFERROR(LEFT(J26,FIND("市",J26)),J26))</f>
        <v/>
      </c>
      <c r="V26" s="378">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78">
        <f>IFERROR(MID(J26,IFERROR(FIND("鄉",J26),IFERROR(FIND("鎮",J26),FIND("區",J26)))+1,LEN(J26)),IFERROR(MID(J26,FIND("市",J26)+1,LEN(J26)),MID(J26,FIND("縣",J26)+1,LEN(J26))))</f>
        <v/>
      </c>
      <c r="X26" s="3" t="inlineStr">
        <is>
          <t>新北一</t>
        </is>
      </c>
      <c r="Y26" s="3">
        <f>VLOOKUP(V26,門市狀態!G:H,2,FALSE)</f>
        <v/>
      </c>
      <c r="Z26" s="371">
        <f>IF(D26="FVC7", IF(COUNTIF(特殊門市清單!N:N, B26)=0, "FVC7", VLOOKUP(B26,特殊門市清單!N:T,7,FALSE)), IF(AA26="v","Peplink",""))</f>
        <v/>
      </c>
      <c r="AA26" s="371">
        <f>IFERROR(VLOOKUP(B26,門市狀態!A:D,4,FALSE),"")</f>
        <v/>
      </c>
      <c r="AB26" s="379">
        <f>VLOOKUP(B26,門市主檔!A:B,2,FALSE)</f>
        <v/>
      </c>
      <c r="AC26" s="380" t="n"/>
      <c r="AD26" s="379" t="n"/>
      <c r="AE26" s="379" t="n"/>
      <c r="AF26" s="379" t="n"/>
      <c r="AG26" s="379" t="n"/>
      <c r="AH26" s="379" t="n"/>
    </row>
    <row r="27" hidden="1" ht="21.6" customHeight="1" s="105">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51" t="n"/>
      <c r="N27" s="451" t="n"/>
      <c r="O27" s="372" t="n"/>
      <c r="R27" s="372" t="n"/>
      <c r="T27" s="372" t="n"/>
      <c r="U27" s="377">
        <f>IFERROR(LEFT(J27,FIND("縣",J27)),IFERROR(LEFT(J27,FIND("市",J27)),J27))</f>
        <v/>
      </c>
      <c r="V27" s="378">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78">
        <f>IFERROR(MID(J27,IFERROR(FIND("鄉",J27),IFERROR(FIND("鎮",J27),FIND("區",J27)))+1,LEN(J27)),IFERROR(MID(J27,FIND("市",J27)+1,LEN(J27)),MID(J27,FIND("縣",J27)+1,LEN(J27))))</f>
        <v/>
      </c>
      <c r="X27" s="3" t="inlineStr">
        <is>
          <t>新北一</t>
        </is>
      </c>
      <c r="Y27" s="3">
        <f>VLOOKUP(V27,門市狀態!G:H,2,FALSE)</f>
        <v/>
      </c>
      <c r="Z27" s="371">
        <f>IF(D27="FVC7", IF(COUNTIF(特殊門市清單!N:N, B27)=0, "FVC7", VLOOKUP(B27,特殊門市清單!N:T,7,FALSE)), IF(AA27="v","Peplink",""))</f>
        <v/>
      </c>
      <c r="AA27" s="371">
        <f>IFERROR(VLOOKUP(B27,門市狀態!A:D,4,FALSE),"")</f>
        <v/>
      </c>
      <c r="AB27" s="379">
        <f>VLOOKUP(B27,門市主檔!A:B,2,FALSE)</f>
        <v/>
      </c>
      <c r="AC27" s="380" t="n"/>
      <c r="AD27" s="379" t="n"/>
      <c r="AE27" s="379" t="n"/>
      <c r="AF27" s="379" t="inlineStr">
        <is>
          <t>EDC</t>
        </is>
      </c>
      <c r="AG27" s="379" t="n"/>
      <c r="AH27" s="379" t="n"/>
    </row>
    <row r="28" hidden="1"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51" t="n"/>
      <c r="N28" s="451" t="n"/>
      <c r="O28" s="372" t="n"/>
      <c r="R28" s="372" t="n"/>
      <c r="T28" s="372" t="n"/>
      <c r="U28" s="377">
        <f>IFERROR(LEFT(J28,FIND("縣",J28)),IFERROR(LEFT(J28,FIND("市",J28)),J28))</f>
        <v/>
      </c>
      <c r="V28" s="378">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78">
        <f>IFERROR(MID(J28,IFERROR(FIND("鄉",J28),IFERROR(FIND("鎮",J28),FIND("區",J28)))+1,LEN(J28)),IFERROR(MID(J28,FIND("市",J28)+1,LEN(J28)),MID(J28,FIND("縣",J28)+1,LEN(J28))))</f>
        <v/>
      </c>
      <c r="X28" s="3" t="inlineStr">
        <is>
          <t>新北一</t>
        </is>
      </c>
      <c r="Y28" s="3">
        <f>VLOOKUP(V28,門市狀態!G:H,2,FALSE)</f>
        <v/>
      </c>
      <c r="Z28" s="371">
        <f>IF(D28="FVC7", IF(COUNTIF(特殊門市清單!N:N, B28)=0, "FVC7", VLOOKUP(B28,特殊門市清單!N:T,7,FALSE)), IF(AA28="v","Peplink",""))</f>
        <v/>
      </c>
      <c r="AA28" s="371">
        <f>IFERROR(VLOOKUP(B28,門市狀態!A:D,4,FALSE),"")</f>
        <v/>
      </c>
      <c r="AB28" s="379">
        <f>VLOOKUP(B28,門市主檔!A:B,2,FALSE)</f>
        <v/>
      </c>
      <c r="AC28" s="380" t="n"/>
      <c r="AD28" s="379" t="n"/>
      <c r="AE28" s="379" t="n"/>
      <c r="AF28" s="379" t="inlineStr">
        <is>
          <t>EDC</t>
        </is>
      </c>
      <c r="AG28" s="379" t="n"/>
      <c r="AH28" s="379" t="n"/>
    </row>
    <row r="29" hidden="1"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51" t="n"/>
      <c r="N29" s="451" t="n"/>
      <c r="O29" s="372" t="n"/>
      <c r="R29" s="372" t="n"/>
      <c r="T29" s="372" t="n"/>
      <c r="U29" s="377">
        <f>IFERROR(LEFT(J29,FIND("縣",J29)),IFERROR(LEFT(J29,FIND("市",J29)),J29))</f>
        <v/>
      </c>
      <c r="V29" s="378">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78">
        <f>IFERROR(MID(J29,IFERROR(FIND("鄉",J29),IFERROR(FIND("鎮",J29),FIND("區",J29)))+1,LEN(J29)),IFERROR(MID(J29,FIND("市",J29)+1,LEN(J29)),MID(J29,FIND("縣",J29)+1,LEN(J29))))</f>
        <v/>
      </c>
      <c r="X29" s="3" t="inlineStr">
        <is>
          <t>新北一</t>
        </is>
      </c>
      <c r="Y29" s="3">
        <f>VLOOKUP(V29,門市狀態!G:H,2,FALSE)</f>
        <v/>
      </c>
      <c r="Z29" s="371">
        <f>IF(D29="FVC7", IF(COUNTIF(特殊門市清單!N:N, B29)=0, "FVC7", VLOOKUP(B29,特殊門市清單!N:T,7,FALSE)), IF(AA29="v","Peplink",""))</f>
        <v/>
      </c>
      <c r="AA29" s="371">
        <f>IFERROR(VLOOKUP(B29,門市狀態!A:D,4,FALSE),"")</f>
        <v/>
      </c>
      <c r="AB29" s="379">
        <f>VLOOKUP(B29,門市主檔!A:B,2,FALSE)</f>
        <v/>
      </c>
      <c r="AC29" s="380" t="n"/>
      <c r="AD29" s="379" t="n"/>
      <c r="AE29" s="379" t="inlineStr">
        <is>
          <t>機上盒</t>
        </is>
      </c>
      <c r="AF29" s="379" t="inlineStr">
        <is>
          <t>EDC</t>
        </is>
      </c>
      <c r="AG29" s="379" t="n"/>
      <c r="AH29" s="379" t="n"/>
    </row>
    <row r="30" hidden="1"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51" t="n"/>
      <c r="N30" s="451" t="n"/>
      <c r="O30" s="372" t="n"/>
      <c r="R30" s="372" t="n"/>
      <c r="T30" s="372" t="n"/>
      <c r="U30" s="377">
        <f>IFERROR(LEFT(J30,FIND("縣",J30)),IFERROR(LEFT(J30,FIND("市",J30)),J30))</f>
        <v/>
      </c>
      <c r="V30" s="378">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78">
        <f>IFERROR(MID(J30,IFERROR(FIND("鄉",J30),IFERROR(FIND("鎮",J30),FIND("區",J30)))+1,LEN(J30)),IFERROR(MID(J30,FIND("市",J30)+1,LEN(J30)),MID(J30,FIND("縣",J30)+1,LEN(J30))))</f>
        <v/>
      </c>
      <c r="X30" s="3" t="inlineStr">
        <is>
          <t>新北一</t>
        </is>
      </c>
      <c r="Y30" s="3">
        <f>VLOOKUP(V30,門市狀態!G:H,2,FALSE)</f>
        <v/>
      </c>
      <c r="Z30" s="371">
        <f>IF(D30="FVC7", IF(COUNTIF(特殊門市清單!N:N, B30)=0, "FVC7", VLOOKUP(B30,特殊門市清單!N:T,7,FALSE)), IF(AA30="v","Peplink",""))</f>
        <v/>
      </c>
      <c r="AA30" s="371">
        <f>IFERROR(VLOOKUP(B30,門市狀態!A:D,4,FALSE),"")</f>
        <v/>
      </c>
      <c r="AB30" s="379">
        <f>VLOOKUP(B30,門市主檔!A:B,2,FALSE)</f>
        <v/>
      </c>
      <c r="AC30" s="380" t="n"/>
      <c r="AD30" s="379" t="n"/>
      <c r="AE30" s="379" t="n"/>
      <c r="AF30" s="379" t="inlineStr">
        <is>
          <t>EDC</t>
        </is>
      </c>
      <c r="AG30" s="379" t="n"/>
      <c r="AH30" s="379" t="n"/>
    </row>
    <row r="31" hidden="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51" t="n"/>
      <c r="N31" s="451" t="n"/>
      <c r="O31" s="372" t="n"/>
      <c r="R31" s="372" t="n"/>
      <c r="T31" s="372" t="n"/>
      <c r="U31" s="377">
        <f>IFERROR(LEFT(J31,FIND("縣",J31)),IFERROR(LEFT(J31,FIND("市",J31)),J31))</f>
        <v/>
      </c>
      <c r="V31" s="378">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78">
        <f>IFERROR(MID(J31,IFERROR(FIND("鄉",J31),IFERROR(FIND("鎮",J31),FIND("區",J31)))+1,LEN(J31)),IFERROR(MID(J31,FIND("市",J31)+1,LEN(J31)),MID(J31,FIND("縣",J31)+1,LEN(J31))))</f>
        <v/>
      </c>
      <c r="X31" s="3" t="inlineStr">
        <is>
          <t>新北一</t>
        </is>
      </c>
      <c r="Y31" s="3">
        <f>VLOOKUP(V31,門市狀態!G:H,2,FALSE)</f>
        <v/>
      </c>
      <c r="Z31" s="371">
        <f>IF(D31="FVC7", IF(COUNTIF(特殊門市清單!N:N, B31)=0, "FVC7", VLOOKUP(B31,特殊門市清單!N:T,7,FALSE)), IF(AA31="v","Peplink",""))</f>
        <v/>
      </c>
      <c r="AA31" s="371">
        <f>IFERROR(VLOOKUP(B31,門市狀態!A:D,4,FALSE),"")</f>
        <v/>
      </c>
      <c r="AB31" s="379">
        <f>VLOOKUP(B31,門市主檔!A:B,2,FALSE)</f>
        <v/>
      </c>
      <c r="AC31" s="380" t="n"/>
      <c r="AD31" s="379" t="n"/>
      <c r="AE31" s="379" t="n"/>
      <c r="AF31" s="379" t="inlineStr">
        <is>
          <t>EDC</t>
        </is>
      </c>
      <c r="AG31" s="379" t="n"/>
      <c r="AH31" s="379" t="n"/>
    </row>
    <row r="32" hidden="1"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51" t="n"/>
      <c r="N32" s="451" t="n"/>
      <c r="O32" s="372" t="n"/>
      <c r="R32" s="372" t="n"/>
      <c r="T32" s="372" t="n"/>
      <c r="U32" s="377">
        <f>IFERROR(LEFT(J32,FIND("縣",J32)),IFERROR(LEFT(J32,FIND("市",J32)),J32))</f>
        <v/>
      </c>
      <c r="V32" s="378">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78">
        <f>IFERROR(MID(J32,IFERROR(FIND("鄉",J32),IFERROR(FIND("鎮",J32),FIND("區",J32)))+1,LEN(J32)),IFERROR(MID(J32,FIND("市",J32)+1,LEN(J32)),MID(J32,FIND("縣",J32)+1,LEN(J32))))</f>
        <v/>
      </c>
      <c r="X32" s="3" t="inlineStr">
        <is>
          <t>新北一</t>
        </is>
      </c>
      <c r="Y32" s="3">
        <f>VLOOKUP(V32,門市狀態!G:H,2,FALSE)</f>
        <v/>
      </c>
      <c r="Z32" s="371">
        <f>IF(D32="FVC7", IF(COUNTIF(特殊門市清單!N:N, B32)=0, "FVC7", VLOOKUP(B32,特殊門市清單!N:T,7,FALSE)), IF(AA32="v","Peplink",""))</f>
        <v/>
      </c>
      <c r="AA32" s="371">
        <f>IFERROR(VLOOKUP(B32,門市狀態!A:D,4,FALSE),"")</f>
        <v/>
      </c>
      <c r="AB32" s="379">
        <f>VLOOKUP(B32,門市主檔!A:B,2,FALSE)</f>
        <v/>
      </c>
      <c r="AC32" s="380" t="n"/>
      <c r="AD32" s="379" t="n"/>
      <c r="AE32" s="379" t="n"/>
      <c r="AF32" s="379" t="inlineStr">
        <is>
          <t>EDC</t>
        </is>
      </c>
      <c r="AG32" s="379" t="n"/>
      <c r="AH32" s="379" t="n"/>
    </row>
    <row r="33" hidden="1"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51" t="n"/>
      <c r="N33" s="451" t="n"/>
      <c r="O33" s="372" t="n"/>
      <c r="R33" s="372" t="n"/>
      <c r="T33" s="372" t="n"/>
      <c r="U33" s="377">
        <f>IFERROR(LEFT(J33,FIND("縣",J33)),IFERROR(LEFT(J33,FIND("市",J33)),J33))</f>
        <v/>
      </c>
      <c r="V33" s="378">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78">
        <f>IFERROR(MID(J33,IFERROR(FIND("鄉",J33),IFERROR(FIND("鎮",J33),FIND("區",J33)))+1,LEN(J33)),IFERROR(MID(J33,FIND("市",J33)+1,LEN(J33)),MID(J33,FIND("縣",J33)+1,LEN(J33))))</f>
        <v/>
      </c>
      <c r="X33" s="3" t="inlineStr">
        <is>
          <t>新北一</t>
        </is>
      </c>
      <c r="Y33" s="3">
        <f>VLOOKUP(V33,門市狀態!G:H,2,FALSE)</f>
        <v/>
      </c>
      <c r="Z33" s="371">
        <f>IF(D33="FVC7", IF(COUNTIF(特殊門市清單!N:N, B33)=0, "FVC7", VLOOKUP(B33,特殊門市清單!N:T,7,FALSE)), IF(AA33="v","Peplink",""))</f>
        <v/>
      </c>
      <c r="AA33" s="371">
        <f>IFERROR(VLOOKUP(B33,門市狀態!A:D,4,FALSE),"")</f>
        <v/>
      </c>
      <c r="AB33" s="379">
        <f>VLOOKUP(B33,門市主檔!A:B,2,FALSE)</f>
        <v/>
      </c>
      <c r="AC33" s="380" t="n"/>
      <c r="AD33" s="379" t="n"/>
      <c r="AE33" s="379" t="n"/>
      <c r="AF33" s="379" t="inlineStr">
        <is>
          <t>EDC</t>
        </is>
      </c>
      <c r="AG33" s="379" t="n"/>
      <c r="AH33" s="379" t="n"/>
    </row>
    <row r="34" hidden="1"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51" t="n"/>
      <c r="N34" s="451" t="n"/>
      <c r="O34" s="372" t="n"/>
      <c r="R34" s="372" t="n"/>
      <c r="T34" s="372" t="n"/>
      <c r="U34" s="377">
        <f>IFERROR(LEFT(J34,FIND("縣",J34)),IFERROR(LEFT(J34,FIND("市",J34)),J34))</f>
        <v/>
      </c>
      <c r="V34" s="378">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78">
        <f>IFERROR(MID(J34,IFERROR(FIND("鄉",J34),IFERROR(FIND("鎮",J34),FIND("區",J34)))+1,LEN(J34)),IFERROR(MID(J34,FIND("市",J34)+1,LEN(J34)),MID(J34,FIND("縣",J34)+1,LEN(J34))))</f>
        <v/>
      </c>
      <c r="X34" s="3" t="inlineStr">
        <is>
          <t>新北一</t>
        </is>
      </c>
      <c r="Y34" s="3">
        <f>VLOOKUP(V34,門市狀態!G:H,2,FALSE)</f>
        <v/>
      </c>
      <c r="Z34" s="371">
        <f>IF(D34="FVC7", IF(COUNTIF(特殊門市清單!N:N, B34)=0, "FVC7", VLOOKUP(B34,特殊門市清單!N:T,7,FALSE)), IF(AA34="v","Peplink",""))</f>
        <v/>
      </c>
      <c r="AA34" s="371">
        <f>IFERROR(VLOOKUP(B34,門市狀態!A:D,4,FALSE),"")</f>
        <v/>
      </c>
      <c r="AB34" s="379">
        <f>VLOOKUP(B34,門市主檔!A:B,2,FALSE)</f>
        <v/>
      </c>
      <c r="AC34" s="380" t="n"/>
      <c r="AD34" s="379" t="n"/>
      <c r="AE34" s="379" t="n"/>
      <c r="AF34" s="379" t="inlineStr">
        <is>
          <t>EDC</t>
        </is>
      </c>
      <c r="AG34" s="379" t="n"/>
      <c r="AH34" s="379" t="n"/>
    </row>
    <row r="35" hidden="1"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51" t="n"/>
      <c r="N35" s="451" t="n"/>
      <c r="O35" s="372" t="n"/>
      <c r="R35" s="372" t="n"/>
      <c r="T35" s="372" t="n"/>
      <c r="U35" s="377">
        <f>IFERROR(LEFT(J35,FIND("縣",J35)),IFERROR(LEFT(J35,FIND("市",J35)),J35))</f>
        <v/>
      </c>
      <c r="V35" s="378">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78">
        <f>IFERROR(MID(J35,IFERROR(FIND("鄉",J35),IFERROR(FIND("鎮",J35),FIND("區",J35)))+1,LEN(J35)),IFERROR(MID(J35,FIND("市",J35)+1,LEN(J35)),MID(J35,FIND("縣",J35)+1,LEN(J35))))</f>
        <v/>
      </c>
      <c r="X35" s="3" t="inlineStr">
        <is>
          <t>新北一</t>
        </is>
      </c>
      <c r="Y35" s="3">
        <f>VLOOKUP(V35,門市狀態!G:H,2,FALSE)</f>
        <v/>
      </c>
      <c r="Z35" s="371">
        <f>IF(D35="FVC7", IF(COUNTIF(特殊門市清單!N:N, B35)=0, "FVC7", VLOOKUP(B35,特殊門市清單!N:T,7,FALSE)), IF(AA35="v","Peplink",""))</f>
        <v/>
      </c>
      <c r="AA35" s="371">
        <f>IFERROR(VLOOKUP(B35,門市狀態!A:D,4,FALSE),"")</f>
        <v/>
      </c>
      <c r="AB35" s="379">
        <f>VLOOKUP(B35,門市主檔!A:B,2,FALSE)</f>
        <v/>
      </c>
      <c r="AC35" s="380" t="n"/>
      <c r="AD35" s="379" t="n"/>
      <c r="AE35" s="379" t="n"/>
      <c r="AF35" s="379" t="inlineStr">
        <is>
          <t>EDC</t>
        </is>
      </c>
      <c r="AG35" s="379" t="n"/>
      <c r="AH35" s="379" t="n"/>
    </row>
    <row r="36" hidden="1"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51" t="n"/>
      <c r="N36" s="451" t="n"/>
      <c r="O36" s="372" t="n"/>
      <c r="R36" s="372" t="n"/>
      <c r="T36" s="372" t="n"/>
      <c r="U36" s="377">
        <f>IFERROR(LEFT(J36,FIND("縣",J36)),IFERROR(LEFT(J36,FIND("市",J36)),J36))</f>
        <v/>
      </c>
      <c r="V36" s="378">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78">
        <f>IFERROR(MID(J36,IFERROR(FIND("鄉",J36),IFERROR(FIND("鎮",J36),FIND("區",J36)))+1,LEN(J36)),IFERROR(MID(J36,FIND("市",J36)+1,LEN(J36)),MID(J36,FIND("縣",J36)+1,LEN(J36))))</f>
        <v/>
      </c>
      <c r="X36" s="3" t="inlineStr">
        <is>
          <t>新北一</t>
        </is>
      </c>
      <c r="Y36" s="3">
        <f>VLOOKUP(V36,門市狀態!G:H,2,FALSE)</f>
        <v/>
      </c>
      <c r="Z36" s="371">
        <f>IF(D36="FVC7", IF(COUNTIF(特殊門市清單!N:N, B36)=0, "FVC7", VLOOKUP(B36,特殊門市清單!N:T,7,FALSE)), IF(AA36="v","Peplink",""))</f>
        <v/>
      </c>
      <c r="AA36" s="371">
        <f>IFERROR(VLOOKUP(B36,門市狀態!A:D,4,FALSE),"")</f>
        <v/>
      </c>
      <c r="AB36" s="379">
        <f>VLOOKUP(B36,門市主檔!A:B,2,FALSE)</f>
        <v/>
      </c>
      <c r="AC36" s="380" t="n"/>
      <c r="AD36" s="379" t="n"/>
      <c r="AE36" s="379" t="inlineStr">
        <is>
          <t>機上盒</t>
        </is>
      </c>
      <c r="AF36" s="379" t="inlineStr">
        <is>
          <t>EDC</t>
        </is>
      </c>
      <c r="AG36" s="379" t="n"/>
      <c r="AH36" s="379" t="n"/>
    </row>
    <row r="37" hidden="1"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77">
        <f>IFERROR(LEFT(J37,FIND("縣",J37)),IFERROR(LEFT(J37,FIND("市",J37)),J37))</f>
        <v/>
      </c>
      <c r="V37" s="378">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78">
        <f>IFERROR(MID(J37,IFERROR(FIND("鄉",J37),IFERROR(FIND("鎮",J37),FIND("區",J37)))+1,LEN(J37)),IFERROR(MID(J37,FIND("市",J37)+1,LEN(J37)),MID(J37,FIND("縣",J37)+1,LEN(J37))))</f>
        <v/>
      </c>
      <c r="X37" s="3" t="inlineStr">
        <is>
          <t>新北一</t>
        </is>
      </c>
      <c r="Y37" s="3">
        <f>VLOOKUP(V37,門市狀態!G:H,2,FALSE)</f>
        <v/>
      </c>
      <c r="Z37" s="371">
        <f>IF(D37="FVC7", IF(COUNTIF(特殊門市清單!N:N, B37)=0, "FVC7", VLOOKUP(B37,特殊門市清單!N:T,7,FALSE)), IF(AA37="v","Peplink",""))</f>
        <v/>
      </c>
      <c r="AA37" s="371">
        <f>IFERROR(VLOOKUP(B37,門市狀態!A:D,4,FALSE),"")</f>
        <v/>
      </c>
      <c r="AB37" s="379">
        <f>VLOOKUP(B37,門市主檔!A:B,2,FALSE)</f>
        <v/>
      </c>
      <c r="AC37" s="381" t="n"/>
      <c r="AD37" s="379" t="n"/>
      <c r="AE37" s="379" t="n"/>
      <c r="AF37" s="379" t="inlineStr">
        <is>
          <t>EDC</t>
        </is>
      </c>
      <c r="AG37" s="379" t="n"/>
      <c r="AH37" s="379" t="n"/>
    </row>
    <row r="38" hidden="1"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77">
        <f>IFERROR(LEFT(J38,FIND("縣",J38)),IFERROR(LEFT(J38,FIND("市",J38)),J38))</f>
        <v/>
      </c>
      <c r="V38" s="378">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78">
        <f>IFERROR(MID(J38,IFERROR(FIND("鄉",J38),IFERROR(FIND("鎮",J38),FIND("區",J38)))+1,LEN(J38)),IFERROR(MID(J38,FIND("市",J38)+1,LEN(J38)),MID(J38,FIND("縣",J38)+1,LEN(J38))))</f>
        <v/>
      </c>
      <c r="X38" s="3" t="inlineStr">
        <is>
          <t>新北一</t>
        </is>
      </c>
      <c r="Y38" s="3">
        <f>VLOOKUP(V38,門市狀態!G:H,2,FALSE)</f>
        <v/>
      </c>
      <c r="Z38" s="371">
        <f>IF(D38="FVC7", IF(COUNTIF(特殊門市清單!N:N, B38)=0, "FVC7", VLOOKUP(B38,特殊門市清單!N:T,7,FALSE)), IF(AA38="v","Peplink",""))</f>
        <v/>
      </c>
      <c r="AA38" s="371">
        <f>IFERROR(VLOOKUP(B38,門市狀態!A:D,4,FALSE),"")</f>
        <v/>
      </c>
      <c r="AB38" s="379">
        <f>VLOOKUP(B38,門市主檔!A:B,2,FALSE)</f>
        <v/>
      </c>
      <c r="AC38" s="381" t="n"/>
      <c r="AD38" s="379" t="n"/>
      <c r="AE38" s="379" t="inlineStr">
        <is>
          <t>機上盒</t>
        </is>
      </c>
      <c r="AF38" s="379" t="inlineStr">
        <is>
          <t>EDC</t>
        </is>
      </c>
      <c r="AG38" s="379" t="n"/>
      <c r="AH38" s="379" t="n"/>
    </row>
    <row r="39" hidden="1"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77">
        <f>IFERROR(LEFT(J39,FIND("縣",J39)),IFERROR(LEFT(J39,FIND("市",J39)),J39))</f>
        <v/>
      </c>
      <c r="V39" s="378">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78">
        <f>IFERROR(MID(J39,IFERROR(FIND("鄉",J39),IFERROR(FIND("鎮",J39),FIND("區",J39)))+1,LEN(J39)),IFERROR(MID(J39,FIND("市",J39)+1,LEN(J39)),MID(J39,FIND("縣",J39)+1,LEN(J39))))</f>
        <v/>
      </c>
      <c r="X39" s="3" t="inlineStr">
        <is>
          <t>新北一</t>
        </is>
      </c>
      <c r="Y39" s="3">
        <f>VLOOKUP(V39,門市狀態!G:H,2,FALSE)</f>
        <v/>
      </c>
      <c r="Z39" s="371">
        <f>IF(D39="FVC7", IF(COUNTIF(特殊門市清單!N:N, B39)=0, "FVC7", VLOOKUP(B39,特殊門市清單!N:T,7,FALSE)), IF(AA39="v","Peplink",""))</f>
        <v/>
      </c>
      <c r="AA39" s="371">
        <f>IFERROR(VLOOKUP(B39,門市狀態!A:D,4,FALSE),"")</f>
        <v/>
      </c>
      <c r="AB39" s="379">
        <f>VLOOKUP(B39,門市主檔!A:B,2,FALSE)</f>
        <v/>
      </c>
      <c r="AC39" s="381" t="n"/>
      <c r="AD39" s="379" t="n"/>
      <c r="AE39" s="379" t="inlineStr">
        <is>
          <t>機上盒</t>
        </is>
      </c>
      <c r="AF39" s="379" t="inlineStr">
        <is>
          <t>EDC</t>
        </is>
      </c>
      <c r="AG39" s="379" t="n"/>
      <c r="AH39" s="379" t="n"/>
    </row>
    <row r="40" hidden="1"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77">
        <f>IFERROR(LEFT(J40,FIND("縣",J40)),IFERROR(LEFT(J40,FIND("市",J40)),J40))</f>
        <v/>
      </c>
      <c r="V40" s="378">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78">
        <f>IFERROR(MID(J40,IFERROR(FIND("鄉",J40),IFERROR(FIND("鎮",J40),FIND("區",J40)))+1,LEN(J40)),IFERROR(MID(J40,FIND("市",J40)+1,LEN(J40)),MID(J40,FIND("縣",J40)+1,LEN(J40))))</f>
        <v/>
      </c>
      <c r="X40" s="3" t="inlineStr">
        <is>
          <t>新北一</t>
        </is>
      </c>
      <c r="Y40" s="3">
        <f>VLOOKUP(V40,門市狀態!G:H,2,FALSE)</f>
        <v/>
      </c>
      <c r="Z40" s="371" t="inlineStr">
        <is>
          <t>學校</t>
        </is>
      </c>
      <c r="AA40" s="371">
        <f>IFERROR(VLOOKUP(B40,門市狀態!A:D,4,FALSE),"")</f>
        <v/>
      </c>
      <c r="AB40" s="379">
        <f>VLOOKUP(B40,門市主檔!A:B,2,FALSE)</f>
        <v/>
      </c>
      <c r="AC40" s="381" t="n"/>
      <c r="AD40" s="379" t="inlineStr">
        <is>
          <t>學校</t>
        </is>
      </c>
      <c r="AE40" s="379" t="n"/>
      <c r="AF40" s="379" t="inlineStr">
        <is>
          <t>EDC</t>
        </is>
      </c>
      <c r="AG40" s="379" t="n"/>
      <c r="AH40" s="379" t="n"/>
    </row>
    <row r="41" hidden="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77">
        <f>IFERROR(LEFT(J41,FIND("縣",J41)),IFERROR(LEFT(J41,FIND("市",J41)),J41))</f>
        <v/>
      </c>
      <c r="V41" s="378">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78">
        <f>IFERROR(MID(J41,IFERROR(FIND("鄉",J41),IFERROR(FIND("鎮",J41),FIND("區",J41)))+1,LEN(J41)),IFERROR(MID(J41,FIND("市",J41)+1,LEN(J41)),MID(J41,FIND("縣",J41)+1,LEN(J41))))</f>
        <v/>
      </c>
      <c r="X41" s="3" t="inlineStr">
        <is>
          <t>新北一</t>
        </is>
      </c>
      <c r="Y41" s="3">
        <f>VLOOKUP(V41,門市狀態!G:H,2,FALSE)</f>
        <v/>
      </c>
      <c r="Z41" s="371">
        <f>IF(D41="FVC7", IF(COUNTIF(特殊門市清單!N:N, B41)=0, "FVC7", VLOOKUP(B41,特殊門市清單!N:T,7,FALSE)), IF(AA41="v","Peplink",""))</f>
        <v/>
      </c>
      <c r="AA41" s="371">
        <f>IFERROR(VLOOKUP(B41,門市狀態!A:D,4,FALSE),"")</f>
        <v/>
      </c>
      <c r="AB41" s="379">
        <f>VLOOKUP(B41,門市主檔!A:B,2,FALSE)</f>
        <v/>
      </c>
      <c r="AC41" s="382" t="n"/>
      <c r="AD41" s="379" t="n"/>
      <c r="AE41" s="379" t="inlineStr">
        <is>
          <t>機上盒</t>
        </is>
      </c>
      <c r="AF41" s="379" t="inlineStr">
        <is>
          <t>EDC</t>
        </is>
      </c>
      <c r="AG41" s="379" t="n"/>
      <c r="AH41" s="379" t="n"/>
    </row>
    <row r="42" hidden="1"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77">
        <f>IFERROR(LEFT(J42,FIND("縣",J42)),IFERROR(LEFT(J42,FIND("市",J42)),J42))</f>
        <v/>
      </c>
      <c r="V42" s="378">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78">
        <f>IFERROR(MID(J42,IFERROR(FIND("鄉",J42),IFERROR(FIND("鎮",J42),FIND("區",J42)))+1,LEN(J42)),IFERROR(MID(J42,FIND("市",J42)+1,LEN(J42)),MID(J42,FIND("縣",J42)+1,LEN(J42))))</f>
        <v/>
      </c>
      <c r="X42" s="3" t="inlineStr">
        <is>
          <t>新北一</t>
        </is>
      </c>
      <c r="Y42" s="3">
        <f>VLOOKUP(V42,門市狀態!G:H,2,FALSE)</f>
        <v/>
      </c>
      <c r="Z42" s="371">
        <f>IF(D42="FVC7", IF(COUNTIF(特殊門市清單!N:N, B42)=0, "FVC7", VLOOKUP(B42,特殊門市清單!N:T,7,FALSE)), IF(AA42="v","Peplink",""))</f>
        <v/>
      </c>
      <c r="AA42" s="371">
        <f>IFERROR(VLOOKUP(B42,門市狀態!A:D,4,FALSE),"")</f>
        <v/>
      </c>
      <c r="AB42" s="379">
        <f>VLOOKUP(B42,門市主檔!A:B,2,FALSE)</f>
        <v/>
      </c>
      <c r="AC42" s="380" t="n"/>
      <c r="AD42" s="379" t="n"/>
      <c r="AE42" s="379" t="n"/>
      <c r="AF42" s="379" t="inlineStr">
        <is>
          <t>EDC</t>
        </is>
      </c>
      <c r="AG42" s="379" t="n"/>
      <c r="AH42" s="379" t="inlineStr">
        <is>
          <t>TVV</t>
        </is>
      </c>
    </row>
    <row r="43" hidden="1"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77">
        <f>IFERROR(LEFT(J43,FIND("縣",J43)),IFERROR(LEFT(J43,FIND("市",J43)),J43))</f>
        <v/>
      </c>
      <c r="V43" s="378">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78">
        <f>IFERROR(MID(J43,IFERROR(FIND("鄉",J43),IFERROR(FIND("鎮",J43),FIND("區",J43)))+1,LEN(J43)),IFERROR(MID(J43,FIND("市",J43)+1,LEN(J43)),MID(J43,FIND("縣",J43)+1,LEN(J43))))</f>
        <v/>
      </c>
      <c r="X43" s="3" t="inlineStr">
        <is>
          <t>新北一</t>
        </is>
      </c>
      <c r="Y43" s="3">
        <f>VLOOKUP(V43,門市狀態!G:H,2,FALSE)</f>
        <v/>
      </c>
      <c r="Z43" s="371">
        <f>IF(D43="FVC7", IF(COUNTIF(特殊門市清單!N:N, B43)=0, "FVC7", VLOOKUP(B43,特殊門市清單!N:T,7,FALSE)), IF(AA43="v","Peplink",""))</f>
        <v/>
      </c>
      <c r="AA43" s="371">
        <f>IFERROR(VLOOKUP(B43,門市狀態!A:D,4,FALSE),"")</f>
        <v/>
      </c>
      <c r="AB43" s="379">
        <f>VLOOKUP(B43,門市主檔!A:B,2,FALSE)</f>
        <v/>
      </c>
      <c r="AC43" s="380" t="n"/>
      <c r="AD43" s="379" t="n"/>
      <c r="AE43" s="379" t="n"/>
      <c r="AF43" s="379" t="inlineStr">
        <is>
          <t>EDC</t>
        </is>
      </c>
      <c r="AG43" s="379" t="n"/>
      <c r="AH43" s="379" t="n"/>
    </row>
    <row r="44" hidden="1"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77">
        <f>IFERROR(LEFT(J44,FIND("縣",J44)),IFERROR(LEFT(J44,FIND("市",J44)),J44))</f>
        <v/>
      </c>
      <c r="V44" s="378">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78">
        <f>IFERROR(MID(J44,IFERROR(FIND("鄉",J44),IFERROR(FIND("鎮",J44),FIND("區",J44)))+1,LEN(J44)),IFERROR(MID(J44,FIND("市",J44)+1,LEN(J44)),MID(J44,FIND("縣",J44)+1,LEN(J44))))</f>
        <v/>
      </c>
      <c r="X44" s="3" t="inlineStr">
        <is>
          <t>新北一</t>
        </is>
      </c>
      <c r="Y44" s="3">
        <f>VLOOKUP(V44,門市狀態!G:H,2,FALSE)</f>
        <v/>
      </c>
      <c r="Z44" s="371">
        <f>IF(D44="FVC7", IF(COUNTIF(特殊門市清單!N:N, B44)=0, "FVC7", VLOOKUP(B44,特殊門市清單!N:T,7,FALSE)), IF(AA44="v","Peplink",""))</f>
        <v/>
      </c>
      <c r="AA44" s="371">
        <f>IFERROR(VLOOKUP(B44,門市狀態!A:D,4,FALSE),"")</f>
        <v/>
      </c>
      <c r="AB44" s="379">
        <f>VLOOKUP(B44,門市主檔!A:B,2,FALSE)</f>
        <v/>
      </c>
      <c r="AC44" s="380" t="n"/>
      <c r="AD44" s="379" t="n"/>
      <c r="AE44" s="379" t="n"/>
      <c r="AF44" s="379" t="inlineStr">
        <is>
          <t>EDC</t>
        </is>
      </c>
      <c r="AG44" s="379" t="n"/>
      <c r="AH44" s="379" t="inlineStr">
        <is>
          <t>TVV</t>
        </is>
      </c>
    </row>
    <row r="45" hidden="1"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77">
        <f>IFERROR(LEFT(J45,FIND("縣",J45)),IFERROR(LEFT(J45,FIND("市",J45)),J45))</f>
        <v/>
      </c>
      <c r="V45" s="378">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78">
        <f>IFERROR(MID(J45,IFERROR(FIND("鄉",J45),IFERROR(FIND("鎮",J45),FIND("區",J45)))+1,LEN(J45)),IFERROR(MID(J45,FIND("市",J45)+1,LEN(J45)),MID(J45,FIND("縣",J45)+1,LEN(J45))))</f>
        <v/>
      </c>
      <c r="X45" s="3" t="inlineStr">
        <is>
          <t>新北一</t>
        </is>
      </c>
      <c r="Y45" s="3">
        <f>VLOOKUP(V45,門市狀態!G:H,2,FALSE)</f>
        <v/>
      </c>
      <c r="Z45" s="371">
        <f>IF(D45="FVC7", IF(COUNTIF(特殊門市清單!N:N, B45)=0, "FVC7", VLOOKUP(B45,特殊門市清單!N:T,7,FALSE)), IF(AA45="v","Peplink",""))</f>
        <v/>
      </c>
      <c r="AA45" s="371">
        <f>IFERROR(VLOOKUP(B45,門市狀態!A:D,4,FALSE),"")</f>
        <v/>
      </c>
      <c r="AB45" s="379">
        <f>VLOOKUP(B45,門市主檔!A:B,2,FALSE)</f>
        <v/>
      </c>
      <c r="AC45" s="380" t="n"/>
      <c r="AD45" s="379" t="n"/>
      <c r="AE45" s="379" t="n"/>
      <c r="AF45" s="379" t="inlineStr">
        <is>
          <t>EDC</t>
        </is>
      </c>
      <c r="AG45" s="379" t="n"/>
      <c r="AH45" s="379" t="n"/>
    </row>
    <row r="46" hidden="1"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77">
        <f>IFERROR(LEFT(J46,FIND("縣",J46)),IFERROR(LEFT(J46,FIND("市",J46)),J46))</f>
        <v/>
      </c>
      <c r="V46" s="378">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78">
        <f>IFERROR(MID(J46,IFERROR(FIND("鄉",J46),IFERROR(FIND("鎮",J46),FIND("區",J46)))+1,LEN(J46)),IFERROR(MID(J46,FIND("市",J46)+1,LEN(J46)),MID(J46,FIND("縣",J46)+1,LEN(J46))))</f>
        <v/>
      </c>
      <c r="X46" s="3" t="inlineStr">
        <is>
          <t>新北一</t>
        </is>
      </c>
      <c r="Y46" s="3">
        <f>VLOOKUP(V46,門市狀態!G:H,2,FALSE)</f>
        <v/>
      </c>
      <c r="Z46" s="371">
        <f>IF(D46="FVC7", IF(COUNTIF(特殊門市清單!N:N, B46)=0, "FVC7", VLOOKUP(B46,特殊門市清單!N:T,7,FALSE)), IF(AA46="v","Peplink",""))</f>
        <v/>
      </c>
      <c r="AA46" s="371">
        <f>IFERROR(VLOOKUP(B46,門市狀態!A:D,4,FALSE),"")</f>
        <v/>
      </c>
      <c r="AB46" s="379">
        <f>VLOOKUP(B46,門市主檔!A:B,2,FALSE)</f>
        <v/>
      </c>
      <c r="AC46" s="380" t="n"/>
      <c r="AD46" s="379" t="n"/>
      <c r="AE46" s="379" t="n"/>
      <c r="AF46" s="379" t="inlineStr">
        <is>
          <t>EDC</t>
        </is>
      </c>
      <c r="AG46" s="379" t="n"/>
      <c r="AH46" s="379" t="n"/>
    </row>
    <row r="47" hidden="1"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77">
        <f>IFERROR(LEFT(J47,FIND("縣",J47)),IFERROR(LEFT(J47,FIND("市",J47)),J47))</f>
        <v/>
      </c>
      <c r="V47" s="378">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78">
        <f>IFERROR(MID(J47,IFERROR(FIND("鄉",J47),IFERROR(FIND("鎮",J47),FIND("區",J47)))+1,LEN(J47)),IFERROR(MID(J47,FIND("市",J47)+1,LEN(J47)),MID(J47,FIND("縣",J47)+1,LEN(J47))))</f>
        <v/>
      </c>
      <c r="X47" s="3" t="inlineStr">
        <is>
          <t>新北一</t>
        </is>
      </c>
      <c r="Y47" s="3">
        <f>VLOOKUP(V47,門市狀態!G:H,2,FALSE)</f>
        <v/>
      </c>
      <c r="Z47" s="371">
        <f>IF(D47="FVC7", IF(COUNTIF(特殊門市清單!N:N, B47)=0, "FVC7", VLOOKUP(B47,特殊門市清單!N:T,7,FALSE)), IF(AA47="v","Peplink",""))</f>
        <v/>
      </c>
      <c r="AA47" s="371">
        <f>IFERROR(VLOOKUP(B47,門市狀態!A:D,4,FALSE),"")</f>
        <v/>
      </c>
      <c r="AB47" s="379">
        <f>VLOOKUP(B47,門市主檔!A:B,2,FALSE)</f>
        <v/>
      </c>
      <c r="AC47" s="380" t="n"/>
      <c r="AD47" s="379" t="n"/>
      <c r="AE47" s="379" t="n"/>
      <c r="AF47" s="379" t="inlineStr">
        <is>
          <t>EDC</t>
        </is>
      </c>
      <c r="AG47" s="379" t="n"/>
      <c r="AH47" s="379" t="inlineStr">
        <is>
          <t>TVV</t>
        </is>
      </c>
    </row>
    <row r="48" hidden="1"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77">
        <f>IFERROR(LEFT(J48,FIND("縣",J48)),IFERROR(LEFT(J48,FIND("市",J48)),J48))</f>
        <v/>
      </c>
      <c r="V48" s="378">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78">
        <f>IFERROR(MID(J48,IFERROR(FIND("鄉",J48),IFERROR(FIND("鎮",J48),FIND("區",J48)))+1,LEN(J48)),IFERROR(MID(J48,FIND("市",J48)+1,LEN(J48)),MID(J48,FIND("縣",J48)+1,LEN(J48))))</f>
        <v/>
      </c>
      <c r="X48" s="3" t="inlineStr">
        <is>
          <t>新北一</t>
        </is>
      </c>
      <c r="Y48" s="3">
        <f>VLOOKUP(V48,門市狀態!G:H,2,FALSE)</f>
        <v/>
      </c>
      <c r="Z48" s="371">
        <f>IF(D48="FVC7", IF(COUNTIF(特殊門市清單!N:N, B48)=0, "FVC7", VLOOKUP(B48,特殊門市清單!N:T,7,FALSE)), IF(AA48="v","Peplink",""))</f>
        <v/>
      </c>
      <c r="AA48" s="371">
        <f>IFERROR(VLOOKUP(B48,門市狀態!A:D,4,FALSE),"")</f>
        <v/>
      </c>
      <c r="AB48" s="379">
        <f>VLOOKUP(B48,門市主檔!A:B,2,FALSE)</f>
        <v/>
      </c>
      <c r="AC48" s="380" t="n"/>
      <c r="AD48" s="379" t="n"/>
      <c r="AE48" s="379" t="n"/>
      <c r="AF48" s="379" t="inlineStr">
        <is>
          <t>EDC</t>
        </is>
      </c>
      <c r="AG48" s="379" t="n"/>
      <c r="AH48" s="379" t="n"/>
    </row>
    <row r="49" hidden="1"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77">
        <f>IFERROR(LEFT(J49,FIND("縣",J49)),IFERROR(LEFT(J49,FIND("市",J49)),J49))</f>
        <v/>
      </c>
      <c r="V49" s="378">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78">
        <f>IFERROR(MID(J49,IFERROR(FIND("鄉",J49),IFERROR(FIND("鎮",J49),FIND("區",J49)))+1,LEN(J49)),IFERROR(MID(J49,FIND("市",J49)+1,LEN(J49)),MID(J49,FIND("縣",J49)+1,LEN(J49))))</f>
        <v/>
      </c>
      <c r="X49" s="3" t="inlineStr">
        <is>
          <t>新北一</t>
        </is>
      </c>
      <c r="Y49" s="3">
        <f>VLOOKUP(V49,門市狀態!G:H,2,FALSE)</f>
        <v/>
      </c>
      <c r="Z49" s="371">
        <f>IF(D49="FVC7", IF(COUNTIF(特殊門市清單!N:N, B49)=0, "FVC7", VLOOKUP(B49,特殊門市清單!N:T,7,FALSE)), IF(AA49="v","Peplink",""))</f>
        <v/>
      </c>
      <c r="AA49" s="371">
        <f>IFERROR(VLOOKUP(B49,門市狀態!A:D,4,FALSE),"")</f>
        <v/>
      </c>
      <c r="AB49" s="379">
        <f>VLOOKUP(B49,門市主檔!A:B,2,FALSE)</f>
        <v/>
      </c>
      <c r="AC49" s="380" t="n"/>
      <c r="AD49" s="379" t="n"/>
      <c r="AE49" s="379" t="n"/>
      <c r="AF49" s="379" t="inlineStr">
        <is>
          <t>EDC</t>
        </is>
      </c>
      <c r="AG49" s="379" t="n"/>
      <c r="AH49" s="379" t="n"/>
    </row>
    <row r="50" hidden="1"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77">
        <f>IFERROR(LEFT(J50,FIND("縣",J50)),IFERROR(LEFT(J50,FIND("市",J50)),J50))</f>
        <v/>
      </c>
      <c r="V50" s="378">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78">
        <f>IFERROR(MID(J50,IFERROR(FIND("鄉",J50),IFERROR(FIND("鎮",J50),FIND("區",J50)))+1,LEN(J50)),IFERROR(MID(J50,FIND("市",J50)+1,LEN(J50)),MID(J50,FIND("縣",J50)+1,LEN(J50))))</f>
        <v/>
      </c>
      <c r="X50" s="3" t="inlineStr">
        <is>
          <t>新北一</t>
        </is>
      </c>
      <c r="Y50" s="3">
        <f>VLOOKUP(V50,門市狀態!G:H,2,FALSE)</f>
        <v/>
      </c>
      <c r="Z50" s="371">
        <f>IF(D50="FVC7", IF(COUNTIF(特殊門市清單!N:N, B50)=0, "FVC7", VLOOKUP(B50,特殊門市清單!N:T,7,FALSE)), IF(AA50="v","Peplink",""))</f>
        <v/>
      </c>
      <c r="AA50" s="371">
        <f>IFERROR(VLOOKUP(B50,門市狀態!A:D,4,FALSE),"")</f>
        <v/>
      </c>
      <c r="AB50" s="379">
        <f>VLOOKUP(B50,門市主檔!A:B,2,FALSE)</f>
        <v/>
      </c>
      <c r="AC50" s="380" t="n"/>
      <c r="AD50" s="379" t="n"/>
      <c r="AE50" s="379" t="n"/>
      <c r="AF50" s="379" t="inlineStr">
        <is>
          <t>EDC</t>
        </is>
      </c>
      <c r="AG50" s="379" t="n"/>
      <c r="AH50" s="379" t="n"/>
    </row>
    <row r="51" hidden="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77">
        <f>IFERROR(LEFT(J51,FIND("縣",J51)),IFERROR(LEFT(J51,FIND("市",J51)),J51))</f>
        <v/>
      </c>
      <c r="V51" s="378">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78">
        <f>IFERROR(MID(J51,IFERROR(FIND("鄉",J51),IFERROR(FIND("鎮",J51),FIND("區",J51)))+1,LEN(J51)),IFERROR(MID(J51,FIND("市",J51)+1,LEN(J51)),MID(J51,FIND("縣",J51)+1,LEN(J51))))</f>
        <v/>
      </c>
      <c r="X51" s="3" t="inlineStr">
        <is>
          <t>新北一</t>
        </is>
      </c>
      <c r="Y51" s="3">
        <f>VLOOKUP(V51,門市狀態!G:H,2,FALSE)</f>
        <v/>
      </c>
      <c r="Z51" s="371">
        <f>IF(D51="FVC7", IF(COUNTIF(特殊門市清單!N:N, B51)=0, "FVC7", VLOOKUP(B51,特殊門市清單!N:T,7,FALSE)), IF(AA51="v","Peplink",""))</f>
        <v/>
      </c>
      <c r="AA51" s="371">
        <f>IFERROR(VLOOKUP(B51,門市狀態!A:D,4,FALSE),"")</f>
        <v/>
      </c>
      <c r="AB51" s="379">
        <f>VLOOKUP(B51,門市主檔!A:B,2,FALSE)</f>
        <v/>
      </c>
      <c r="AC51" s="380" t="n"/>
      <c r="AD51" s="379" t="n"/>
      <c r="AE51" s="379" t="n"/>
      <c r="AF51" s="379" t="inlineStr">
        <is>
          <t>EDC</t>
        </is>
      </c>
      <c r="AG51" s="379" t="n"/>
      <c r="AH51" s="379" t="inlineStr">
        <is>
          <t>TVV</t>
        </is>
      </c>
    </row>
    <row r="52" hidden="1"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77">
        <f>IFERROR(LEFT(J52,FIND("縣",J52)),IFERROR(LEFT(J52,FIND("市",J52)),J52))</f>
        <v/>
      </c>
      <c r="V52" s="378">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78">
        <f>IFERROR(MID(J52,IFERROR(FIND("鄉",J52),IFERROR(FIND("鎮",J52),FIND("區",J52)))+1,LEN(J52)),IFERROR(MID(J52,FIND("市",J52)+1,LEN(J52)),MID(J52,FIND("縣",J52)+1,LEN(J52))))</f>
        <v/>
      </c>
      <c r="X52" s="3" t="inlineStr">
        <is>
          <t>新北一</t>
        </is>
      </c>
      <c r="Y52" s="3">
        <f>VLOOKUP(V52,門市狀態!G:H,2,FALSE)</f>
        <v/>
      </c>
      <c r="Z52" s="371">
        <f>IF(D52="FVC7", IF(COUNTIF(特殊門市清單!N:N, B52)=0, "FVC7", VLOOKUP(B52,特殊門市清單!N:T,7,FALSE)), IF(AA52="v","Peplink",""))</f>
        <v/>
      </c>
      <c r="AA52" s="371">
        <f>IFERROR(VLOOKUP(B52,門市狀態!A:D,4,FALSE),"")</f>
        <v/>
      </c>
      <c r="AB52" s="379">
        <f>VLOOKUP(B52,門市主檔!A:B,2,FALSE)</f>
        <v/>
      </c>
      <c r="AC52" s="380" t="n"/>
      <c r="AD52" s="379" t="n"/>
      <c r="AE52" s="379" t="n"/>
      <c r="AF52" s="379" t="inlineStr">
        <is>
          <t>EDC</t>
        </is>
      </c>
      <c r="AG52" s="379" t="n"/>
      <c r="AH52" s="379" t="n"/>
    </row>
    <row r="53" hidden="1"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77">
        <f>IFERROR(LEFT(J53,FIND("縣",J53)),IFERROR(LEFT(J53,FIND("市",J53)),J53))</f>
        <v/>
      </c>
      <c r="V53" s="378">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78">
        <f>IFERROR(MID(J53,IFERROR(FIND("鄉",J53),IFERROR(FIND("鎮",J53),FIND("區",J53)))+1,LEN(J53)),IFERROR(MID(J53,FIND("市",J53)+1,LEN(J53)),MID(J53,FIND("縣",J53)+1,LEN(J53))))</f>
        <v/>
      </c>
      <c r="X53" s="3" t="inlineStr">
        <is>
          <t>新北一</t>
        </is>
      </c>
      <c r="Y53" s="3">
        <f>VLOOKUP(V53,門市狀態!G:H,2,FALSE)</f>
        <v/>
      </c>
      <c r="Z53" s="371">
        <f>IF(D53="FVC7", IF(COUNTIF(特殊門市清單!N:N, B53)=0, "FVC7", VLOOKUP(B53,特殊門市清單!N:T,7,FALSE)), IF(AA53="v","Peplink",""))</f>
        <v/>
      </c>
      <c r="AA53" s="371">
        <f>IFERROR(VLOOKUP(B53,門市狀態!A:D,4,FALSE),"")</f>
        <v/>
      </c>
      <c r="AB53" s="379">
        <f>VLOOKUP(B53,門市主檔!A:B,2,FALSE)</f>
        <v/>
      </c>
      <c r="AC53" s="380" t="n"/>
      <c r="AD53" s="379" t="n"/>
      <c r="AE53" s="379" t="n"/>
      <c r="AF53" s="379" t="inlineStr">
        <is>
          <t>EDC</t>
        </is>
      </c>
      <c r="AG53" s="379" t="n"/>
      <c r="AH53" s="379" t="n"/>
    </row>
    <row r="54" hidden="1"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77">
        <f>IFERROR(LEFT(J54,FIND("縣",J54)),IFERROR(LEFT(J54,FIND("市",J54)),J54))</f>
        <v/>
      </c>
      <c r="V54" s="378">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78">
        <f>IFERROR(MID(J54,IFERROR(FIND("鄉",J54),IFERROR(FIND("鎮",J54),FIND("區",J54)))+1,LEN(J54)),IFERROR(MID(J54,FIND("市",J54)+1,LEN(J54)),MID(J54,FIND("縣",J54)+1,LEN(J54))))</f>
        <v/>
      </c>
      <c r="X54" s="3" t="inlineStr">
        <is>
          <t>新北一</t>
        </is>
      </c>
      <c r="Y54" s="3">
        <f>VLOOKUP(V54,門市狀態!G:H,2,FALSE)</f>
        <v/>
      </c>
      <c r="Z54" s="371">
        <f>IF(D54="FVC7", IF(COUNTIF(特殊門市清單!N:N, B54)=0, "FVC7", VLOOKUP(B54,特殊門市清單!N:T,7,FALSE)), IF(AA54="v","Peplink",""))</f>
        <v/>
      </c>
      <c r="AA54" s="371">
        <f>IFERROR(VLOOKUP(B54,門市狀態!A:D,4,FALSE),"")</f>
        <v/>
      </c>
      <c r="AB54" s="379">
        <f>VLOOKUP(B54,門市主檔!A:B,2,FALSE)</f>
        <v/>
      </c>
      <c r="AC54" s="380" t="n"/>
      <c r="AD54" s="379" t="n"/>
      <c r="AE54" s="379" t="n"/>
      <c r="AF54" s="379" t="inlineStr">
        <is>
          <t>EDC</t>
        </is>
      </c>
      <c r="AG54" s="379" t="n"/>
      <c r="AH54" s="379" t="n"/>
    </row>
    <row r="55" hidden="1"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77">
        <f>IFERROR(LEFT(J55,FIND("縣",J55)),IFERROR(LEFT(J55,FIND("市",J55)),J55))</f>
        <v/>
      </c>
      <c r="V55" s="378">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78">
        <f>IFERROR(MID(J55,IFERROR(FIND("鄉",J55),IFERROR(FIND("鎮",J55),FIND("區",J55)))+1,LEN(J55)),IFERROR(MID(J55,FIND("市",J55)+1,LEN(J55)),MID(J55,FIND("縣",J55)+1,LEN(J55))))</f>
        <v/>
      </c>
      <c r="X55" s="3" t="inlineStr">
        <is>
          <t>新北一</t>
        </is>
      </c>
      <c r="Y55" s="3">
        <f>VLOOKUP(V55,門市狀態!G:H,2,FALSE)</f>
        <v/>
      </c>
      <c r="Z55" s="371">
        <f>IF(D55="FVC7", IF(COUNTIF(特殊門市清單!N:N, B55)=0, "FVC7", VLOOKUP(B55,特殊門市清單!N:T,7,FALSE)), IF(AA55="v","Peplink",""))</f>
        <v/>
      </c>
      <c r="AA55" s="371">
        <f>IFERROR(VLOOKUP(B55,門市狀態!A:D,4,FALSE),"")</f>
        <v/>
      </c>
      <c r="AB55" s="379">
        <f>VLOOKUP(B55,門市主檔!A:B,2,FALSE)</f>
        <v/>
      </c>
      <c r="AC55" s="380" t="n"/>
      <c r="AD55" s="379" t="n"/>
      <c r="AE55" s="379" t="n"/>
      <c r="AF55" s="379" t="inlineStr">
        <is>
          <t>EDC</t>
        </is>
      </c>
      <c r="AG55" s="379" t="n"/>
      <c r="AH55" s="379" t="n"/>
    </row>
    <row r="56" hidden="1"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77">
        <f>IFERROR(LEFT(J56,FIND("縣",J56)),IFERROR(LEFT(J56,FIND("市",J56)),J56))</f>
        <v/>
      </c>
      <c r="V56" s="378">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78">
        <f>IFERROR(MID(J56,IFERROR(FIND("鄉",J56),IFERROR(FIND("鎮",J56),FIND("區",J56)))+1,LEN(J56)),IFERROR(MID(J56,FIND("市",J56)+1,LEN(J56)),MID(J56,FIND("縣",J56)+1,LEN(J56))))</f>
        <v/>
      </c>
      <c r="X56" s="3" t="inlineStr">
        <is>
          <t>新北一</t>
        </is>
      </c>
      <c r="Y56" s="3">
        <f>VLOOKUP(V56,門市狀態!G:H,2,FALSE)</f>
        <v/>
      </c>
      <c r="Z56" s="371">
        <f>IF(D56="FVC7", IF(COUNTIF(特殊門市清單!N:N, B56)=0, "FVC7", VLOOKUP(B56,特殊門市清單!N:T,7,FALSE)), IF(AA56="v","Peplink",""))</f>
        <v/>
      </c>
      <c r="AA56" s="371">
        <f>IFERROR(VLOOKUP(B56,門市狀態!A:D,4,FALSE),"")</f>
        <v/>
      </c>
      <c r="AB56" s="379">
        <f>VLOOKUP(B56,門市主檔!A:B,2,FALSE)</f>
        <v/>
      </c>
      <c r="AC56" s="380" t="n"/>
      <c r="AD56" s="379" t="n"/>
      <c r="AE56" s="379" t="n"/>
      <c r="AF56" s="379" t="inlineStr">
        <is>
          <t>EDC</t>
        </is>
      </c>
      <c r="AG56" s="379" t="n"/>
      <c r="AH56" s="379" t="n"/>
    </row>
    <row r="57" hidden="1"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77">
        <f>IFERROR(LEFT(J57,FIND("縣",J57)),IFERROR(LEFT(J57,FIND("市",J57)),J57))</f>
        <v/>
      </c>
      <c r="V57" s="378">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78">
        <f>IFERROR(MID(J57,IFERROR(FIND("鄉",J57),IFERROR(FIND("鎮",J57),FIND("區",J57)))+1,LEN(J57)),IFERROR(MID(J57,FIND("市",J57)+1,LEN(J57)),MID(J57,FIND("縣",J57)+1,LEN(J57))))</f>
        <v/>
      </c>
      <c r="X57" s="3" t="inlineStr">
        <is>
          <t>新北一</t>
        </is>
      </c>
      <c r="Y57" s="3">
        <f>VLOOKUP(V57,門市狀態!G:H,2,FALSE)</f>
        <v/>
      </c>
      <c r="Z57" s="371">
        <f>IF(D57="FVC7", IF(COUNTIF(特殊門市清單!N:N, B57)=0, "FVC7", VLOOKUP(B57,特殊門市清單!N:T,7,FALSE)), IF(AA57="v","Peplink",""))</f>
        <v/>
      </c>
      <c r="AA57" s="371">
        <f>IFERROR(VLOOKUP(B57,門市狀態!A:D,4,FALSE),"")</f>
        <v/>
      </c>
      <c r="AB57" s="379">
        <f>VLOOKUP(B57,門市主檔!A:B,2,FALSE)</f>
        <v/>
      </c>
      <c r="AC57" s="380" t="n"/>
      <c r="AD57" s="379" t="n"/>
      <c r="AE57" s="379" t="n"/>
      <c r="AF57" s="379" t="inlineStr">
        <is>
          <t>EDC</t>
        </is>
      </c>
      <c r="AG57" s="379" t="n"/>
      <c r="AH57" s="379" t="n"/>
    </row>
    <row r="58" hidden="1"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77">
        <f>IFERROR(LEFT(J58,FIND("縣",J58)),IFERROR(LEFT(J58,FIND("市",J58)),J58))</f>
        <v/>
      </c>
      <c r="V58" s="378">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78">
        <f>IFERROR(MID(J58,IFERROR(FIND("鄉",J58),IFERROR(FIND("鎮",J58),FIND("區",J58)))+1,LEN(J58)),IFERROR(MID(J58,FIND("市",J58)+1,LEN(J58)),MID(J58,FIND("縣",J58)+1,LEN(J58))))</f>
        <v/>
      </c>
      <c r="X58" s="3" t="inlineStr">
        <is>
          <t>新北一</t>
        </is>
      </c>
      <c r="Y58" s="3">
        <f>VLOOKUP(V58,門市狀態!G:H,2,FALSE)</f>
        <v/>
      </c>
      <c r="Z58" s="371">
        <f>IF(D58="FVC7", IF(COUNTIF(特殊門市清單!N:N, B58)=0, "FVC7", VLOOKUP(B58,特殊門市清單!N:T,7,FALSE)), IF(AA58="v","Peplink",""))</f>
        <v/>
      </c>
      <c r="AA58" s="371">
        <f>IFERROR(VLOOKUP(B58,門市狀態!A:D,4,FALSE),"")</f>
        <v/>
      </c>
      <c r="AB58" s="379">
        <f>VLOOKUP(B58,門市主檔!A:B,2,FALSE)</f>
        <v/>
      </c>
      <c r="AC58" s="380" t="n"/>
      <c r="AD58" s="379" t="n"/>
      <c r="AE58" s="379" t="n"/>
      <c r="AF58" s="379" t="inlineStr">
        <is>
          <t>EDC</t>
        </is>
      </c>
      <c r="AG58" s="379" t="n"/>
      <c r="AH58" s="379" t="n"/>
    </row>
    <row r="59" hidden="1"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77">
        <f>IFERROR(LEFT(J59,FIND("縣",J59)),IFERROR(LEFT(J59,FIND("市",J59)),J59))</f>
        <v/>
      </c>
      <c r="V59" s="378">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78">
        <f>IFERROR(MID(J59,IFERROR(FIND("鄉",J59),IFERROR(FIND("鎮",J59),FIND("區",J59)))+1,LEN(J59)),IFERROR(MID(J59,FIND("市",J59)+1,LEN(J59)),MID(J59,FIND("縣",J59)+1,LEN(J59))))</f>
        <v/>
      </c>
      <c r="X59" s="3" t="inlineStr">
        <is>
          <t>新北一</t>
        </is>
      </c>
      <c r="Y59" s="3">
        <f>VLOOKUP(V59,門市狀態!G:H,2,FALSE)</f>
        <v/>
      </c>
      <c r="Z59" s="371">
        <f>IF(D59="FVC7", IF(COUNTIF(特殊門市清單!N:N, B59)=0, "FVC7", VLOOKUP(B59,特殊門市清單!N:T,7,FALSE)), IF(AA59="v","Peplink",""))</f>
        <v/>
      </c>
      <c r="AA59" s="371">
        <f>IFERROR(VLOOKUP(B59,門市狀態!A:D,4,FALSE),"")</f>
        <v/>
      </c>
      <c r="AB59" s="379">
        <f>VLOOKUP(B59,門市主檔!A:B,2,FALSE)</f>
        <v/>
      </c>
      <c r="AC59" s="380" t="n"/>
      <c r="AD59" s="379" t="n"/>
      <c r="AE59" s="379" t="inlineStr">
        <is>
          <t>機上盒</t>
        </is>
      </c>
      <c r="AF59" s="379" t="inlineStr">
        <is>
          <t>EDC</t>
        </is>
      </c>
      <c r="AG59" s="379" t="n"/>
      <c r="AH59" s="379" t="n"/>
    </row>
    <row r="60" hidden="1"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77">
        <f>IFERROR(LEFT(J60,FIND("縣",J60)),IFERROR(LEFT(J60,FIND("市",J60)),J60))</f>
        <v/>
      </c>
      <c r="V60" s="378">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78">
        <f>IFERROR(MID(J60,IFERROR(FIND("鄉",J60),IFERROR(FIND("鎮",J60),FIND("區",J60)))+1,LEN(J60)),IFERROR(MID(J60,FIND("市",J60)+1,LEN(J60)),MID(J60,FIND("縣",J60)+1,LEN(J60))))</f>
        <v/>
      </c>
      <c r="X60" s="3" t="inlineStr">
        <is>
          <t>新北一</t>
        </is>
      </c>
      <c r="Y60" s="3">
        <f>VLOOKUP(V60,門市狀態!G:H,2,FALSE)</f>
        <v/>
      </c>
      <c r="Z60" s="371">
        <f>IF(D60="FVC7", IF(COUNTIF(特殊門市清單!N:N, B60)=0, "FVC7", VLOOKUP(B60,特殊門市清單!N:T,7,FALSE)), IF(AA60="v","Peplink",""))</f>
        <v/>
      </c>
      <c r="AA60" s="371">
        <f>IFERROR(VLOOKUP(B60,門市狀態!A:D,4,FALSE),"")</f>
        <v/>
      </c>
      <c r="AB60" s="379">
        <f>VLOOKUP(B60,門市主檔!A:B,2,FALSE)</f>
        <v/>
      </c>
      <c r="AC60" s="380" t="n"/>
      <c r="AD60" s="379" t="n"/>
      <c r="AE60" s="379" t="n"/>
      <c r="AF60" s="379" t="inlineStr">
        <is>
          <t>EDC</t>
        </is>
      </c>
      <c r="AG60" s="379" t="n"/>
      <c r="AH60" s="379" t="n"/>
    </row>
    <row r="61" hidden="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77">
        <f>IFERROR(LEFT(J61,FIND("縣",J61)),IFERROR(LEFT(J61,FIND("市",J61)),J61))</f>
        <v/>
      </c>
      <c r="V61" s="378">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78">
        <f>IFERROR(MID(J61,IFERROR(FIND("鄉",J61),IFERROR(FIND("鎮",J61),FIND("區",J61)))+1,LEN(J61)),IFERROR(MID(J61,FIND("市",J61)+1,LEN(J61)),MID(J61,FIND("縣",J61)+1,LEN(J61))))</f>
        <v/>
      </c>
      <c r="X61" s="3" t="inlineStr">
        <is>
          <t>新北一</t>
        </is>
      </c>
      <c r="Y61" s="3">
        <f>VLOOKUP(V61,門市狀態!G:H,2,FALSE)</f>
        <v/>
      </c>
      <c r="Z61" s="371">
        <f>IF(D61="FVC7", IF(COUNTIF(特殊門市清單!N:N, B61)=0, "FVC7", VLOOKUP(B61,特殊門市清單!N:T,7,FALSE)), IF(AA61="v","Peplink",""))</f>
        <v/>
      </c>
      <c r="AA61" s="371">
        <f>IFERROR(VLOOKUP(B61,門市狀態!A:D,4,FALSE),"")</f>
        <v/>
      </c>
      <c r="AB61" s="379">
        <f>VLOOKUP(B61,門市主檔!A:B,2,FALSE)</f>
        <v/>
      </c>
      <c r="AC61" s="380" t="n"/>
      <c r="AD61" s="379" t="n"/>
      <c r="AE61" s="379" t="n"/>
      <c r="AF61" s="379" t="inlineStr">
        <is>
          <t>EDC</t>
        </is>
      </c>
      <c r="AG61" s="379" t="n"/>
      <c r="AH61" s="379" t="n"/>
    </row>
    <row r="62" hidden="1"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77">
        <f>IFERROR(LEFT(J62,FIND("縣",J62)),IFERROR(LEFT(J62,FIND("市",J62)),J62))</f>
        <v/>
      </c>
      <c r="V62" s="378">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78">
        <f>IFERROR(MID(J62,IFERROR(FIND("鄉",J62),IFERROR(FIND("鎮",J62),FIND("區",J62)))+1,LEN(J62)),IFERROR(MID(J62,FIND("市",J62)+1,LEN(J62)),MID(J62,FIND("縣",J62)+1,LEN(J62))))</f>
        <v/>
      </c>
      <c r="X62" s="3" t="inlineStr">
        <is>
          <t>新北一</t>
        </is>
      </c>
      <c r="Y62" s="3">
        <f>VLOOKUP(V62,門市狀態!G:H,2,FALSE)</f>
        <v/>
      </c>
      <c r="Z62" s="371">
        <f>IF(D62="FVC7", IF(COUNTIF(特殊門市清單!N:N, B62)=0, "FVC7", VLOOKUP(B62,特殊門市清單!N:T,7,FALSE)), IF(AA62="v","Peplink",""))</f>
        <v/>
      </c>
      <c r="AA62" s="371">
        <f>IFERROR(VLOOKUP(B62,門市狀態!A:D,4,FALSE),"")</f>
        <v/>
      </c>
      <c r="AB62" s="379">
        <f>VLOOKUP(B62,門市主檔!A:B,2,FALSE)</f>
        <v/>
      </c>
      <c r="AC62" s="380" t="n"/>
      <c r="AD62" s="379" t="n"/>
      <c r="AE62" s="379" t="n"/>
      <c r="AF62" s="379" t="inlineStr">
        <is>
          <t>EDC</t>
        </is>
      </c>
      <c r="AG62" s="379" t="n"/>
      <c r="AH62" s="379" t="n"/>
    </row>
    <row r="63" hidden="1"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77">
        <f>IFERROR(LEFT(J63,FIND("縣",J63)),IFERROR(LEFT(J63,FIND("市",J63)),J63))</f>
        <v/>
      </c>
      <c r="V63" s="378">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78">
        <f>IFERROR(MID(J63,IFERROR(FIND("鄉",J63),IFERROR(FIND("鎮",J63),FIND("區",J63)))+1,LEN(J63)),IFERROR(MID(J63,FIND("市",J63)+1,LEN(J63)),MID(J63,FIND("縣",J63)+1,LEN(J63))))</f>
        <v/>
      </c>
      <c r="X63" s="3" t="inlineStr">
        <is>
          <t>新北一</t>
        </is>
      </c>
      <c r="Y63" s="3">
        <f>VLOOKUP(V63,門市狀態!G:H,2,FALSE)</f>
        <v/>
      </c>
      <c r="Z63" s="371">
        <f>IF(D63="FVC7", IF(COUNTIF(特殊門市清單!N:N, B63)=0, "FVC7", VLOOKUP(B63,特殊門市清單!N:T,7,FALSE)), IF(AA63="v","Peplink",""))</f>
        <v/>
      </c>
      <c r="AA63" s="371">
        <f>IFERROR(VLOOKUP(B63,門市狀態!A:D,4,FALSE),"")</f>
        <v/>
      </c>
      <c r="AB63" s="379">
        <f>VLOOKUP(B63,門市主檔!A:B,2,FALSE)</f>
        <v/>
      </c>
      <c r="AC63" s="380" t="n"/>
      <c r="AD63" s="379" t="n"/>
      <c r="AE63" s="379" t="n"/>
      <c r="AF63" s="379" t="inlineStr">
        <is>
          <t>EDC</t>
        </is>
      </c>
      <c r="AG63" s="379" t="n"/>
      <c r="AH63" s="379" t="n"/>
    </row>
    <row r="64" hidden="1"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77">
        <f>IFERROR(LEFT(J64,FIND("縣",J64)),IFERROR(LEFT(J64,FIND("市",J64)),J64))</f>
        <v/>
      </c>
      <c r="V64" s="378">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78">
        <f>IFERROR(MID(J64,IFERROR(FIND("鄉",J64),IFERROR(FIND("鎮",J64),FIND("區",J64)))+1,LEN(J64)),IFERROR(MID(J64,FIND("市",J64)+1,LEN(J64)),MID(J64,FIND("縣",J64)+1,LEN(J64))))</f>
        <v/>
      </c>
      <c r="X64" s="3" t="inlineStr">
        <is>
          <t>新北一</t>
        </is>
      </c>
      <c r="Y64" s="3">
        <f>VLOOKUP(V64,門市狀態!G:H,2,FALSE)</f>
        <v/>
      </c>
      <c r="Z64" s="371">
        <f>IF(D64="FVC7", IF(COUNTIF(特殊門市清單!N:N, B64)=0, "FVC7", VLOOKUP(B64,特殊門市清單!N:T,7,FALSE)), IF(AA64="v","Peplink",""))</f>
        <v/>
      </c>
      <c r="AA64" s="371">
        <f>IFERROR(VLOOKUP(B64,門市狀態!A:D,4,FALSE),"")</f>
        <v/>
      </c>
      <c r="AB64" s="379">
        <f>VLOOKUP(B64,門市主檔!A:B,2,FALSE)</f>
        <v/>
      </c>
      <c r="AC64" s="380" t="n"/>
      <c r="AD64" s="379" t="n"/>
      <c r="AE64" s="379" t="n"/>
      <c r="AF64" s="379" t="inlineStr">
        <is>
          <t>EDC</t>
        </is>
      </c>
      <c r="AG64" s="379" t="n"/>
      <c r="AH64" s="379" t="n"/>
    </row>
    <row r="65" hidden="1"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77">
        <f>IFERROR(LEFT(J65,FIND("縣",J65)),IFERROR(LEFT(J65,FIND("市",J65)),J65))</f>
        <v/>
      </c>
      <c r="V65" s="378">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78">
        <f>IFERROR(MID(J65,IFERROR(FIND("鄉",J65),IFERROR(FIND("鎮",J65),FIND("區",J65)))+1,LEN(J65)),IFERROR(MID(J65,FIND("市",J65)+1,LEN(J65)),MID(J65,FIND("縣",J65)+1,LEN(J65))))</f>
        <v/>
      </c>
      <c r="X65" s="3" t="inlineStr">
        <is>
          <t>新北一</t>
        </is>
      </c>
      <c r="Y65" s="3">
        <f>VLOOKUP(V65,門市狀態!G:H,2,FALSE)</f>
        <v/>
      </c>
      <c r="Z65" s="371">
        <f>IF(D65="FVC7", IF(COUNTIF(特殊門市清單!N:N, B65)=0, "FVC7", VLOOKUP(B65,特殊門市清單!N:T,7,FALSE)), IF(AA65="v","Peplink",""))</f>
        <v/>
      </c>
      <c r="AA65" s="371">
        <f>IFERROR(VLOOKUP(B65,門市狀態!A:D,4,FALSE),"")</f>
        <v/>
      </c>
      <c r="AB65" s="379">
        <f>VLOOKUP(B65,門市主檔!A:B,2,FALSE)</f>
        <v/>
      </c>
      <c r="AC65" s="380" t="n"/>
      <c r="AD65" s="379" t="n"/>
      <c r="AE65" s="379" t="n"/>
      <c r="AF65" s="379" t="inlineStr">
        <is>
          <t>EDC</t>
        </is>
      </c>
      <c r="AG65" s="379" t="n"/>
      <c r="AH65" s="379" t="n"/>
    </row>
    <row r="66" hidden="1"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77">
        <f>IFERROR(LEFT(J66,FIND("縣",J66)),IFERROR(LEFT(J66,FIND("市",J66)),J66))</f>
        <v/>
      </c>
      <c r="V66" s="378">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78">
        <f>IFERROR(MID(J66,IFERROR(FIND("鄉",J66),IFERROR(FIND("鎮",J66),FIND("區",J66)))+1,LEN(J66)),IFERROR(MID(J66,FIND("市",J66)+1,LEN(J66)),MID(J66,FIND("縣",J66)+1,LEN(J66))))</f>
        <v/>
      </c>
      <c r="X66" s="3" t="inlineStr">
        <is>
          <t>新北一</t>
        </is>
      </c>
      <c r="Y66" s="3">
        <f>VLOOKUP(V66,門市狀態!G:H,2,FALSE)</f>
        <v/>
      </c>
      <c r="Z66" s="371">
        <f>IF(D66="FVC7", IF(COUNTIF(特殊門市清單!N:N, B66)=0, "FVC7", VLOOKUP(B66,特殊門市清單!N:T,7,FALSE)), IF(AA66="v","Peplink",""))</f>
        <v/>
      </c>
      <c r="AA66" s="371">
        <f>IFERROR(VLOOKUP(B66,門市狀態!A:D,4,FALSE),"")</f>
        <v/>
      </c>
      <c r="AB66" s="379">
        <f>VLOOKUP(B66,門市主檔!A:B,2,FALSE)</f>
        <v/>
      </c>
      <c r="AC66" s="380" t="n"/>
      <c r="AD66" s="379" t="n"/>
      <c r="AE66" s="379" t="inlineStr">
        <is>
          <t>機上盒</t>
        </is>
      </c>
      <c r="AF66" s="379" t="inlineStr">
        <is>
          <t>EDC</t>
        </is>
      </c>
      <c r="AG66" s="379" t="n"/>
      <c r="AH66" s="379" t="n"/>
    </row>
    <row r="67" hidden="1"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77">
        <f>IFERROR(LEFT(J67,FIND("縣",J67)),IFERROR(LEFT(J67,FIND("市",J67)),J67))</f>
        <v/>
      </c>
      <c r="V67" s="378">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78">
        <f>IFERROR(MID(J67,IFERROR(FIND("鄉",J67),IFERROR(FIND("鎮",J67),FIND("區",J67)))+1,LEN(J67)),IFERROR(MID(J67,FIND("市",J67)+1,LEN(J67)),MID(J67,FIND("縣",J67)+1,LEN(J67))))</f>
        <v/>
      </c>
      <c r="X67" s="3" t="inlineStr">
        <is>
          <t>新北一</t>
        </is>
      </c>
      <c r="Y67" s="3">
        <f>VLOOKUP(V67,門市狀態!G:H,2,FALSE)</f>
        <v/>
      </c>
      <c r="Z67" s="371">
        <f>IF(D67="FVC7", IF(COUNTIF(特殊門市清單!N:N, B67)=0, "FVC7", VLOOKUP(B67,特殊門市清單!N:T,7,FALSE)), IF(AA67="v","Peplink",""))</f>
        <v/>
      </c>
      <c r="AA67" s="371">
        <f>IFERROR(VLOOKUP(B67,門市狀態!A:D,4,FALSE),"")</f>
        <v/>
      </c>
      <c r="AB67" s="379">
        <f>VLOOKUP(B67,門市主檔!A:B,2,FALSE)</f>
        <v/>
      </c>
      <c r="AC67" s="380" t="n"/>
      <c r="AD67" s="379" t="n"/>
      <c r="AE67" s="379" t="n"/>
      <c r="AF67" s="379" t="inlineStr">
        <is>
          <t>EDC</t>
        </is>
      </c>
      <c r="AG67" s="379" t="n"/>
      <c r="AH67" s="379" t="n"/>
    </row>
    <row r="68" hidden="1"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77">
        <f>IFERROR(LEFT(J68,FIND("縣",J68)),IFERROR(LEFT(J68,FIND("市",J68)),J68))</f>
        <v/>
      </c>
      <c r="V68" s="378">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78">
        <f>IFERROR(MID(J68,IFERROR(FIND("鄉",J68),IFERROR(FIND("鎮",J68),FIND("區",J68)))+1,LEN(J68)),IFERROR(MID(J68,FIND("市",J68)+1,LEN(J68)),MID(J68,FIND("縣",J68)+1,LEN(J68))))</f>
        <v/>
      </c>
      <c r="X68" s="3" t="inlineStr">
        <is>
          <t>新北一</t>
        </is>
      </c>
      <c r="Y68" s="3">
        <f>VLOOKUP(V68,門市狀態!G:H,2,FALSE)</f>
        <v/>
      </c>
      <c r="Z68" s="371">
        <f>IF(D68="FVC7", IF(COUNTIF(特殊門市清單!N:N, B68)=0, "FVC7", VLOOKUP(B68,特殊門市清單!N:T,7,FALSE)), IF(AA68="v","Peplink",""))</f>
        <v/>
      </c>
      <c r="AA68" s="371">
        <f>IFERROR(VLOOKUP(B68,門市狀態!A:D,4,FALSE),"")</f>
        <v/>
      </c>
      <c r="AB68" s="379">
        <f>VLOOKUP(B68,門市主檔!A:B,2,FALSE)</f>
        <v/>
      </c>
      <c r="AC68" s="380" t="n"/>
      <c r="AD68" s="379" t="n"/>
      <c r="AE68" s="379" t="n"/>
      <c r="AF68" s="379" t="inlineStr">
        <is>
          <t>EDC</t>
        </is>
      </c>
      <c r="AG68" s="379" t="n"/>
      <c r="AH68" s="379" t="n"/>
    </row>
    <row r="69" hidden="1"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77">
        <f>IFERROR(LEFT(J69,FIND("縣",J69)),IFERROR(LEFT(J69,FIND("市",J69)),J69))</f>
        <v/>
      </c>
      <c r="V69" s="378">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78">
        <f>IFERROR(MID(J69,IFERROR(FIND("鄉",J69),IFERROR(FIND("鎮",J69),FIND("區",J69)))+1,LEN(J69)),IFERROR(MID(J69,FIND("市",J69)+1,LEN(J69)),MID(J69,FIND("縣",J69)+1,LEN(J69))))</f>
        <v/>
      </c>
      <c r="X69" s="3" t="inlineStr">
        <is>
          <t>新北一</t>
        </is>
      </c>
      <c r="Y69" s="3">
        <f>VLOOKUP(V69,門市狀態!G:H,2,FALSE)</f>
        <v/>
      </c>
      <c r="Z69" s="371">
        <f>IF(D69="FVC7", IF(COUNTIF(特殊門市清單!N:N, B69)=0, "FVC7", VLOOKUP(B69,特殊門市清單!N:T,7,FALSE)), IF(AA69="v","Peplink",""))</f>
        <v/>
      </c>
      <c r="AA69" s="371">
        <f>IFERROR(VLOOKUP(B69,門市狀態!A:D,4,FALSE),"")</f>
        <v/>
      </c>
      <c r="AB69" s="379">
        <f>VLOOKUP(B69,門市主檔!A:B,2,FALSE)</f>
        <v/>
      </c>
      <c r="AC69" s="380" t="n"/>
      <c r="AD69" s="379" t="n"/>
      <c r="AE69" s="379" t="n"/>
      <c r="AF69" s="379" t="inlineStr">
        <is>
          <t>EDC</t>
        </is>
      </c>
      <c r="AG69" s="379" t="n"/>
      <c r="AH69" s="379" t="n"/>
    </row>
    <row r="70" hidden="1"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77">
        <f>IFERROR(LEFT(J70,FIND("縣",J70)),IFERROR(LEFT(J70,FIND("市",J70)),J70))</f>
        <v/>
      </c>
      <c r="V70" s="378">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78">
        <f>IFERROR(MID(J70,IFERROR(FIND("鄉",J70),IFERROR(FIND("鎮",J70),FIND("區",J70)))+1,LEN(J70)),IFERROR(MID(J70,FIND("市",J70)+1,LEN(J70)),MID(J70,FIND("縣",J70)+1,LEN(J70))))</f>
        <v/>
      </c>
      <c r="X70" s="3" t="inlineStr">
        <is>
          <t>新北一</t>
        </is>
      </c>
      <c r="Y70" s="3">
        <f>VLOOKUP(V70,門市狀態!G:H,2,FALSE)</f>
        <v/>
      </c>
      <c r="Z70" s="371">
        <f>IF(D70="FVC7", IF(COUNTIF(特殊門市清單!N:N, B70)=0, "FVC7", VLOOKUP(B70,特殊門市清單!N:T,7,FALSE)), IF(AA70="v","Peplink",""))</f>
        <v/>
      </c>
      <c r="AA70" s="371">
        <f>IFERROR(VLOOKUP(B70,門市狀態!A:D,4,FALSE),"")</f>
        <v/>
      </c>
      <c r="AB70" s="379">
        <f>VLOOKUP(B70,門市主檔!A:B,2,FALSE)</f>
        <v/>
      </c>
      <c r="AC70" s="380" t="n"/>
      <c r="AD70" s="379" t="n"/>
      <c r="AE70" s="379" t="n"/>
      <c r="AF70" s="379" t="inlineStr">
        <is>
          <t>EDC</t>
        </is>
      </c>
      <c r="AG70" s="379" t="n"/>
      <c r="AH70" s="379" t="n"/>
    </row>
    <row r="71" hidden="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77">
        <f>IFERROR(LEFT(J71,FIND("縣",J71)),IFERROR(LEFT(J71,FIND("市",J71)),J71))</f>
        <v/>
      </c>
      <c r="V71" s="378">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78">
        <f>IFERROR(MID(J71,IFERROR(FIND("鄉",J71),IFERROR(FIND("鎮",J71),FIND("區",J71)))+1,LEN(J71)),IFERROR(MID(J71,FIND("市",J71)+1,LEN(J71)),MID(J71,FIND("縣",J71)+1,LEN(J71))))</f>
        <v/>
      </c>
      <c r="X71" s="3" t="inlineStr">
        <is>
          <t>新北一</t>
        </is>
      </c>
      <c r="Y71" s="3">
        <f>VLOOKUP(V71,門市狀態!G:H,2,FALSE)</f>
        <v/>
      </c>
      <c r="Z71" s="371">
        <f>IF(D71="FVC7", IF(COUNTIF(特殊門市清單!N:N, B71)=0, "FVC7", VLOOKUP(B71,特殊門市清單!N:T,7,FALSE)), IF(AA71="v","Peplink",""))</f>
        <v/>
      </c>
      <c r="AA71" s="371">
        <f>IFERROR(VLOOKUP(B71,門市狀態!A:D,4,FALSE),"")</f>
        <v/>
      </c>
      <c r="AB71" s="379">
        <f>VLOOKUP(B71,門市主檔!A:B,2,FALSE)</f>
        <v/>
      </c>
      <c r="AC71" s="380" t="n"/>
      <c r="AD71" s="379" t="n"/>
      <c r="AE71" s="379" t="n"/>
      <c r="AF71" s="379" t="inlineStr">
        <is>
          <t>EDC</t>
        </is>
      </c>
      <c r="AG71" s="379" t="n"/>
      <c r="AH71" s="379" t="n"/>
    </row>
    <row r="72" hidden="1"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77">
        <f>IFERROR(LEFT(J72,FIND("縣",J72)),IFERROR(LEFT(J72,FIND("市",J72)),J72))</f>
        <v/>
      </c>
      <c r="V72" s="378">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78">
        <f>IFERROR(MID(J72,IFERROR(FIND("鄉",J72),IFERROR(FIND("鎮",J72),FIND("區",J72)))+1,LEN(J72)),IFERROR(MID(J72,FIND("市",J72)+1,LEN(J72)),MID(J72,FIND("縣",J72)+1,LEN(J72))))</f>
        <v/>
      </c>
      <c r="X72" s="3" t="inlineStr">
        <is>
          <t>新北一</t>
        </is>
      </c>
      <c r="Y72" s="3">
        <f>VLOOKUP(V72,門市狀態!G:H,2,FALSE)</f>
        <v/>
      </c>
      <c r="Z72" s="371">
        <f>IF(D72="FVC7", IF(COUNTIF(特殊門市清單!N:N, B72)=0, "FVC7", VLOOKUP(B72,特殊門市清單!N:T,7,FALSE)), IF(AA72="v","Peplink",""))</f>
        <v/>
      </c>
      <c r="AA72" s="371">
        <f>IFERROR(VLOOKUP(B72,門市狀態!A:D,4,FALSE),"")</f>
        <v/>
      </c>
      <c r="AB72" s="379">
        <f>VLOOKUP(B72,門市主檔!A:B,2,FALSE)</f>
        <v/>
      </c>
      <c r="AC72" s="380" t="n"/>
      <c r="AD72" s="379" t="n"/>
      <c r="AE72" s="379" t="n"/>
      <c r="AF72" s="379" t="inlineStr">
        <is>
          <t>EDC</t>
        </is>
      </c>
      <c r="AG72" s="379" t="n"/>
      <c r="AH72" s="379" t="n"/>
    </row>
    <row r="73" hidden="1"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77">
        <f>IFERROR(LEFT(J73,FIND("縣",J73)),IFERROR(LEFT(J73,FIND("市",J73)),J73))</f>
        <v/>
      </c>
      <c r="V73" s="378">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78">
        <f>IFERROR(MID(J73,IFERROR(FIND("鄉",J73),IFERROR(FIND("鎮",J73),FIND("區",J73)))+1,LEN(J73)),IFERROR(MID(J73,FIND("市",J73)+1,LEN(J73)),MID(J73,FIND("縣",J73)+1,LEN(J73))))</f>
        <v/>
      </c>
      <c r="X73" s="3" t="inlineStr">
        <is>
          <t>新北一</t>
        </is>
      </c>
      <c r="Y73" s="3">
        <f>VLOOKUP(V73,門市狀態!G:H,2,FALSE)</f>
        <v/>
      </c>
      <c r="Z73" s="371">
        <f>IF(D73="FVC7", IF(COUNTIF(特殊門市清單!N:N, B73)=0, "FVC7", VLOOKUP(B73,特殊門市清單!N:T,7,FALSE)), IF(AA73="v","Peplink",""))</f>
        <v/>
      </c>
      <c r="AA73" s="371">
        <f>IFERROR(VLOOKUP(B73,門市狀態!A:D,4,FALSE),"")</f>
        <v/>
      </c>
      <c r="AB73" s="379">
        <f>VLOOKUP(B73,門市主檔!A:B,2,FALSE)</f>
        <v/>
      </c>
      <c r="AC73" s="380" t="n"/>
      <c r="AD73" s="379" t="n"/>
      <c r="AE73" s="379" t="n"/>
      <c r="AF73" s="379" t="inlineStr">
        <is>
          <t>EDC</t>
        </is>
      </c>
      <c r="AG73" s="379" t="n"/>
      <c r="AH73" s="379" t="inlineStr">
        <is>
          <t>TVV</t>
        </is>
      </c>
    </row>
    <row r="74" hidden="1"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77">
        <f>IFERROR(LEFT(J74,FIND("縣",J74)),IFERROR(LEFT(J74,FIND("市",J74)),J74))</f>
        <v/>
      </c>
      <c r="V74" s="378">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78">
        <f>IFERROR(MID(J74,IFERROR(FIND("鄉",J74),IFERROR(FIND("鎮",J74),FIND("區",J74)))+1,LEN(J74)),IFERROR(MID(J74,FIND("市",J74)+1,LEN(J74)),MID(J74,FIND("縣",J74)+1,LEN(J74))))</f>
        <v/>
      </c>
      <c r="X74" s="3" t="inlineStr">
        <is>
          <t>新北一</t>
        </is>
      </c>
      <c r="Y74" s="3">
        <f>VLOOKUP(V74,門市狀態!G:H,2,FALSE)</f>
        <v/>
      </c>
      <c r="Z74" s="371">
        <f>IF(D74="FVC7", IF(COUNTIF(特殊門市清單!N:N, B74)=0, "FVC7", VLOOKUP(B74,特殊門市清單!N:T,7,FALSE)), IF(AA74="v","Peplink",""))</f>
        <v/>
      </c>
      <c r="AA74" s="371">
        <f>IFERROR(VLOOKUP(B74,門市狀態!A:D,4,FALSE),"")</f>
        <v/>
      </c>
      <c r="AB74" s="379">
        <f>VLOOKUP(B74,門市主檔!A:B,2,FALSE)</f>
        <v/>
      </c>
      <c r="AC74" s="380" t="n"/>
      <c r="AD74" s="379" t="n"/>
      <c r="AE74" s="379" t="inlineStr">
        <is>
          <t>機上盒</t>
        </is>
      </c>
      <c r="AF74" s="379" t="inlineStr">
        <is>
          <t>EDC</t>
        </is>
      </c>
      <c r="AG74" s="379" t="n"/>
      <c r="AH74" s="379" t="n"/>
    </row>
    <row r="75" hidden="1"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77">
        <f>IFERROR(LEFT(J75,FIND("縣",J75)),IFERROR(LEFT(J75,FIND("市",J75)),J75))</f>
        <v/>
      </c>
      <c r="V75" s="378">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78">
        <f>IFERROR(MID(J75,IFERROR(FIND("鄉",J75),IFERROR(FIND("鎮",J75),FIND("區",J75)))+1,LEN(J75)),IFERROR(MID(J75,FIND("市",J75)+1,LEN(J75)),MID(J75,FIND("縣",J75)+1,LEN(J75))))</f>
        <v/>
      </c>
      <c r="X75" s="3" t="inlineStr">
        <is>
          <t>新北一</t>
        </is>
      </c>
      <c r="Y75" s="3">
        <f>VLOOKUP(V75,門市狀態!G:H,2,FALSE)</f>
        <v/>
      </c>
      <c r="Z75" s="371">
        <f>IF(D75="FVC7", IF(COUNTIF(特殊門市清單!N:N, B75)=0, "FVC7", VLOOKUP(B75,特殊門市清單!N:T,7,FALSE)), IF(AA75="v","Peplink",""))</f>
        <v/>
      </c>
      <c r="AA75" s="371">
        <f>IFERROR(VLOOKUP(B75,門市狀態!A:D,4,FALSE),"")</f>
        <v/>
      </c>
      <c r="AB75" s="379">
        <f>VLOOKUP(B75,門市主檔!A:B,2,FALSE)</f>
        <v/>
      </c>
      <c r="AC75" s="380" t="n"/>
      <c r="AD75" s="379" t="n"/>
      <c r="AE75" s="379" t="n"/>
      <c r="AF75" s="379" t="inlineStr">
        <is>
          <t>EDC</t>
        </is>
      </c>
      <c r="AG75" s="379" t="n"/>
      <c r="AH75" s="379" t="inlineStr">
        <is>
          <t>TVV</t>
        </is>
      </c>
    </row>
    <row r="76" hidden="1"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77">
        <f>IFERROR(LEFT(J76,FIND("縣",J76)),IFERROR(LEFT(J76,FIND("市",J76)),J76))</f>
        <v/>
      </c>
      <c r="V76" s="378">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78">
        <f>IFERROR(MID(J76,IFERROR(FIND("鄉",J76),IFERROR(FIND("鎮",J76),FIND("區",J76)))+1,LEN(J76)),IFERROR(MID(J76,FIND("市",J76)+1,LEN(J76)),MID(J76,FIND("縣",J76)+1,LEN(J76))))</f>
        <v/>
      </c>
      <c r="X76" s="3" t="inlineStr">
        <is>
          <t>新北一</t>
        </is>
      </c>
      <c r="Y76" s="3">
        <f>VLOOKUP(V76,門市狀態!G:H,2,FALSE)</f>
        <v/>
      </c>
      <c r="Z76" s="371">
        <f>IF(D76="FVC7", IF(COUNTIF(特殊門市清單!N:N, B76)=0, "FVC7", VLOOKUP(B76,特殊門市清單!N:T,7,FALSE)), IF(AA76="v","Peplink",""))</f>
        <v/>
      </c>
      <c r="AA76" s="371">
        <f>IFERROR(VLOOKUP(B76,門市狀態!A:D,4,FALSE),"")</f>
        <v/>
      </c>
      <c r="AB76" s="379">
        <f>VLOOKUP(B76,門市主檔!A:B,2,FALSE)</f>
        <v/>
      </c>
      <c r="AC76" s="380" t="n"/>
      <c r="AD76" s="379" t="n"/>
      <c r="AE76" s="379" t="n"/>
      <c r="AF76" s="379" t="inlineStr">
        <is>
          <t>EDC</t>
        </is>
      </c>
      <c r="AG76" s="379" t="n"/>
      <c r="AH76" s="379" t="n"/>
    </row>
    <row r="77" hidden="1"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77">
        <f>IFERROR(LEFT(J77,FIND("縣",J77)),IFERROR(LEFT(J77,FIND("市",J77)),J77))</f>
        <v/>
      </c>
      <c r="V77" s="378">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78">
        <f>IFERROR(MID(J77,IFERROR(FIND("鄉",J77),IFERROR(FIND("鎮",J77),FIND("區",J77)))+1,LEN(J77)),IFERROR(MID(J77,FIND("市",J77)+1,LEN(J77)),MID(J77,FIND("縣",J77)+1,LEN(J77))))</f>
        <v/>
      </c>
      <c r="X77" s="3" t="inlineStr">
        <is>
          <t>新北一</t>
        </is>
      </c>
      <c r="Y77" s="3">
        <f>VLOOKUP(V77,門市狀態!G:H,2,FALSE)</f>
        <v/>
      </c>
      <c r="Z77" s="371">
        <f>IF(D77="FVC7", IF(COUNTIF(特殊門市清單!N:N, B77)=0, "FVC7", VLOOKUP(B77,特殊門市清單!N:T,7,FALSE)), IF(AA77="v","Peplink",""))</f>
        <v/>
      </c>
      <c r="AA77" s="371">
        <f>IFERROR(VLOOKUP(B77,門市狀態!A:D,4,FALSE),"")</f>
        <v/>
      </c>
      <c r="AB77" s="379">
        <f>VLOOKUP(B77,門市主檔!A:B,2,FALSE)</f>
        <v/>
      </c>
      <c r="AC77" s="380" t="n"/>
      <c r="AD77" s="379" t="n"/>
      <c r="AE77" s="379" t="n"/>
      <c r="AF77" s="379" t="inlineStr">
        <is>
          <t>EDC</t>
        </is>
      </c>
      <c r="AG77" s="379" t="n"/>
      <c r="AH77" s="379" t="inlineStr">
        <is>
          <t>TVV</t>
        </is>
      </c>
    </row>
    <row r="78" hidden="1"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77">
        <f>IFERROR(LEFT(J78,FIND("縣",J78)),IFERROR(LEFT(J78,FIND("市",J78)),J78))</f>
        <v/>
      </c>
      <c r="V78" s="378">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78">
        <f>IFERROR(MID(J78,IFERROR(FIND("鄉",J78),IFERROR(FIND("鎮",J78),FIND("區",J78)))+1,LEN(J78)),IFERROR(MID(J78,FIND("市",J78)+1,LEN(J78)),MID(J78,FIND("縣",J78)+1,LEN(J78))))</f>
        <v/>
      </c>
      <c r="X78" s="3" t="inlineStr">
        <is>
          <t>新北一</t>
        </is>
      </c>
      <c r="Y78" s="3">
        <f>VLOOKUP(V78,門市狀態!G:H,2,FALSE)</f>
        <v/>
      </c>
      <c r="Z78" s="371">
        <f>IF(D78="FVC7", IF(COUNTIF(特殊門市清單!N:N, B78)=0, "FVC7", VLOOKUP(B78,特殊門市清單!N:T,7,FALSE)), IF(AA78="v","Peplink",""))</f>
        <v/>
      </c>
      <c r="AA78" s="371">
        <f>IFERROR(VLOOKUP(B78,門市狀態!A:D,4,FALSE),"")</f>
        <v/>
      </c>
      <c r="AB78" s="379">
        <f>VLOOKUP(B78,門市主檔!A:B,2,FALSE)</f>
        <v/>
      </c>
      <c r="AC78" s="380" t="n"/>
      <c r="AD78" s="379" t="n"/>
      <c r="AE78" s="379" t="n"/>
      <c r="AF78" s="379" t="inlineStr">
        <is>
          <t>EDC</t>
        </is>
      </c>
      <c r="AG78" s="379" t="n"/>
      <c r="AH78" s="379" t="n"/>
    </row>
    <row r="79" hidden="1"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77">
        <f>IFERROR(LEFT(J79,FIND("縣",J79)),IFERROR(LEFT(J79,FIND("市",J79)),J79))</f>
        <v/>
      </c>
      <c r="V79" s="378">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78">
        <f>IFERROR(MID(J79,IFERROR(FIND("鄉",J79),IFERROR(FIND("鎮",J79),FIND("區",J79)))+1,LEN(J79)),IFERROR(MID(J79,FIND("市",J79)+1,LEN(J79)),MID(J79,FIND("縣",J79)+1,LEN(J79))))</f>
        <v/>
      </c>
      <c r="X79" s="3" t="inlineStr">
        <is>
          <t>新北一</t>
        </is>
      </c>
      <c r="Y79" s="3">
        <f>VLOOKUP(V79,門市狀態!G:H,2,FALSE)</f>
        <v/>
      </c>
      <c r="Z79" s="371">
        <f>IF(D79="FVC7", IF(COUNTIF(特殊門市清單!N:N, B79)=0, "FVC7", VLOOKUP(B79,特殊門市清單!N:T,7,FALSE)), IF(AA79="v","Peplink",""))</f>
        <v/>
      </c>
      <c r="AA79" s="371">
        <f>IFERROR(VLOOKUP(B79,門市狀態!A:D,4,FALSE),"")</f>
        <v/>
      </c>
      <c r="AB79" s="379">
        <f>VLOOKUP(B79,門市主檔!A:B,2,FALSE)</f>
        <v/>
      </c>
      <c r="AC79" s="380" t="n"/>
      <c r="AD79" s="379" t="n"/>
      <c r="AE79" s="379" t="n"/>
      <c r="AF79" s="379" t="inlineStr">
        <is>
          <t>EDC</t>
        </is>
      </c>
      <c r="AG79" s="379" t="n"/>
      <c r="AH79" s="379" t="n"/>
    </row>
    <row r="80" hidden="1"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77">
        <f>IFERROR(LEFT(J80,FIND("縣",J80)),IFERROR(LEFT(J80,FIND("市",J80)),J80))</f>
        <v/>
      </c>
      <c r="V80" s="378">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78">
        <f>IFERROR(MID(J80,IFERROR(FIND("鄉",J80),IFERROR(FIND("鎮",J80),FIND("區",J80)))+1,LEN(J80)),IFERROR(MID(J80,FIND("市",J80)+1,LEN(J80)),MID(J80,FIND("縣",J80)+1,LEN(J80))))</f>
        <v/>
      </c>
      <c r="X80" s="3" t="inlineStr">
        <is>
          <t>新北一</t>
        </is>
      </c>
      <c r="Y80" s="3">
        <f>VLOOKUP(V80,門市狀態!G:H,2,FALSE)</f>
        <v/>
      </c>
      <c r="Z80" s="371">
        <f>IF(D80="FVC7", IF(COUNTIF(特殊門市清單!N:N, B80)=0, "FVC7", VLOOKUP(B80,特殊門市清單!N:T,7,FALSE)), IF(AA80="v","Peplink",""))</f>
        <v/>
      </c>
      <c r="AA80" s="371">
        <f>IFERROR(VLOOKUP(B80,門市狀態!A:D,4,FALSE),"")</f>
        <v/>
      </c>
      <c r="AB80" s="379">
        <f>VLOOKUP(B80,門市主檔!A:B,2,FALSE)</f>
        <v/>
      </c>
      <c r="AC80" s="380" t="n"/>
      <c r="AD80" s="379" t="n"/>
      <c r="AE80" s="379" t="n"/>
      <c r="AF80" s="379" t="inlineStr">
        <is>
          <t>EDC</t>
        </is>
      </c>
      <c r="AG80" s="379" t="n"/>
      <c r="AH80" s="379" t="n"/>
    </row>
    <row r="81" hidden="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77">
        <f>IFERROR(LEFT(J81,FIND("縣",J81)),IFERROR(LEFT(J81,FIND("市",J81)),J81))</f>
        <v/>
      </c>
      <c r="V81" s="378">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78">
        <f>IFERROR(MID(J81,IFERROR(FIND("鄉",J81),IFERROR(FIND("鎮",J81),FIND("區",J81)))+1,LEN(J81)),IFERROR(MID(J81,FIND("市",J81)+1,LEN(J81)),MID(J81,FIND("縣",J81)+1,LEN(J81))))</f>
        <v/>
      </c>
      <c r="X81" s="3" t="inlineStr">
        <is>
          <t>新北一</t>
        </is>
      </c>
      <c r="Y81" s="3">
        <f>VLOOKUP(V81,門市狀態!G:H,2,FALSE)</f>
        <v/>
      </c>
      <c r="Z81" s="371">
        <f>IF(D81="FVC7", IF(COUNTIF(特殊門市清單!N:N, B81)=0, "FVC7", VLOOKUP(B81,特殊門市清單!N:T,7,FALSE)), IF(AA81="v","Peplink",""))</f>
        <v/>
      </c>
      <c r="AA81" s="371">
        <f>IFERROR(VLOOKUP(B81,門市狀態!A:D,4,FALSE),"")</f>
        <v/>
      </c>
      <c r="AB81" s="379">
        <f>VLOOKUP(B81,門市主檔!A:B,2,FALSE)</f>
        <v/>
      </c>
      <c r="AC81" s="380" t="n"/>
      <c r="AD81" s="379" t="n"/>
      <c r="AE81" s="379" t="n"/>
      <c r="AF81" s="379" t="inlineStr">
        <is>
          <t>EDC</t>
        </is>
      </c>
      <c r="AG81" s="379" t="n"/>
      <c r="AH81" s="379" t="inlineStr">
        <is>
          <t>TVV</t>
        </is>
      </c>
    </row>
    <row r="82" hidden="1"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77">
        <f>IFERROR(LEFT(J82,FIND("縣",J82)),IFERROR(LEFT(J82,FIND("市",J82)),J82))</f>
        <v/>
      </c>
      <c r="V82" s="378">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78">
        <f>IFERROR(MID(J82,IFERROR(FIND("鄉",J82),IFERROR(FIND("鎮",J82),FIND("區",J82)))+1,LEN(J82)),IFERROR(MID(J82,FIND("市",J82)+1,LEN(J82)),MID(J82,FIND("縣",J82)+1,LEN(J82))))</f>
        <v/>
      </c>
      <c r="X82" s="3" t="inlineStr">
        <is>
          <t>新北一</t>
        </is>
      </c>
      <c r="Y82" s="3">
        <f>VLOOKUP(V82,門市狀態!G:H,2,FALSE)</f>
        <v/>
      </c>
      <c r="Z82" s="371">
        <f>IF(D82="FVC7", IF(COUNTIF(特殊門市清單!N:N, B82)=0, "FVC7", VLOOKUP(B82,特殊門市清單!N:T,7,FALSE)), IF(AA82="v","Peplink",""))</f>
        <v/>
      </c>
      <c r="AA82" s="371">
        <f>IFERROR(VLOOKUP(B82,門市狀態!A:D,4,FALSE),"")</f>
        <v/>
      </c>
      <c r="AB82" s="379">
        <f>VLOOKUP(B82,門市主檔!A:B,2,FALSE)</f>
        <v/>
      </c>
      <c r="AC82" s="380" t="n"/>
      <c r="AD82" s="379" t="n"/>
      <c r="AE82" s="379" t="n"/>
      <c r="AF82" s="379" t="inlineStr">
        <is>
          <t>EDC</t>
        </is>
      </c>
      <c r="AG82" s="379" t="n"/>
      <c r="AH82" s="379" t="n"/>
    </row>
    <row r="83" hidden="1"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77">
        <f>IFERROR(LEFT(J83,FIND("縣",J83)),IFERROR(LEFT(J83,FIND("市",J83)),J83))</f>
        <v/>
      </c>
      <c r="V83" s="378">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78">
        <f>IFERROR(MID(J83,IFERROR(FIND("鄉",J83),IFERROR(FIND("鎮",J83),FIND("區",J83)))+1,LEN(J83)),IFERROR(MID(J83,FIND("市",J83)+1,LEN(J83)),MID(J83,FIND("縣",J83)+1,LEN(J83))))</f>
        <v/>
      </c>
      <c r="X83" s="3" t="inlineStr">
        <is>
          <t>新北一</t>
        </is>
      </c>
      <c r="Y83" s="3">
        <f>VLOOKUP(V83,門市狀態!G:H,2,FALSE)</f>
        <v/>
      </c>
      <c r="Z83" s="371">
        <f>IF(D83="FVC7", IF(COUNTIF(特殊門市清單!N:N, B83)=0, "FVC7", VLOOKUP(B83,特殊門市清單!N:T,7,FALSE)), IF(AA83="v","Peplink",""))</f>
        <v/>
      </c>
      <c r="AA83" s="371">
        <f>IFERROR(VLOOKUP(B83,門市狀態!A:D,4,FALSE),"")</f>
        <v/>
      </c>
      <c r="AB83" s="379">
        <f>VLOOKUP(B83,門市主檔!A:B,2,FALSE)</f>
        <v/>
      </c>
      <c r="AC83" s="380" t="n"/>
      <c r="AD83" s="379" t="n"/>
      <c r="AE83" s="379" t="n"/>
      <c r="AF83" s="379" t="inlineStr">
        <is>
          <t>EDC</t>
        </is>
      </c>
      <c r="AG83" s="379" t="n"/>
      <c r="AH83" s="379" t="n"/>
    </row>
    <row r="84" hidden="1"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77">
        <f>IFERROR(LEFT(J84,FIND("縣",J84)),IFERROR(LEFT(J84,FIND("市",J84)),J84))</f>
        <v/>
      </c>
      <c r="V84" s="378">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78">
        <f>IFERROR(MID(J84,IFERROR(FIND("鄉",J84),IFERROR(FIND("鎮",J84),FIND("區",J84)))+1,LEN(J84)),IFERROR(MID(J84,FIND("市",J84)+1,LEN(J84)),MID(J84,FIND("縣",J84)+1,LEN(J84))))</f>
        <v/>
      </c>
      <c r="X84" s="3" t="inlineStr">
        <is>
          <t>新北一</t>
        </is>
      </c>
      <c r="Y84" s="3">
        <f>VLOOKUP(V84,門市狀態!G:H,2,FALSE)</f>
        <v/>
      </c>
      <c r="Z84" s="371">
        <f>IF(D84="FVC7", IF(COUNTIF(特殊門市清單!N:N, B84)=0, "FVC7", VLOOKUP(B84,特殊門市清單!N:T,7,FALSE)), IF(AA84="v","Peplink",""))</f>
        <v/>
      </c>
      <c r="AA84" s="371">
        <f>IFERROR(VLOOKUP(B84,門市狀態!A:D,4,FALSE),"")</f>
        <v/>
      </c>
      <c r="AB84" s="379">
        <f>VLOOKUP(B84,門市主檔!A:B,2,FALSE)</f>
        <v/>
      </c>
      <c r="AC84" s="380" t="n"/>
      <c r="AD84" s="379" t="n"/>
      <c r="AE84" s="379" t="n"/>
      <c r="AF84" s="379" t="inlineStr">
        <is>
          <t>EDC</t>
        </is>
      </c>
      <c r="AG84" s="379" t="n"/>
      <c r="AH84" s="379" t="n"/>
    </row>
    <row r="85" hidden="1"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77">
        <f>IFERROR(LEFT(J85,FIND("縣",J85)),IFERROR(LEFT(J85,FIND("市",J85)),J85))</f>
        <v/>
      </c>
      <c r="V85" s="378">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78">
        <f>IFERROR(MID(J85,IFERROR(FIND("鄉",J85),IFERROR(FIND("鎮",J85),FIND("區",J85)))+1,LEN(J85)),IFERROR(MID(J85,FIND("市",J85)+1,LEN(J85)),MID(J85,FIND("縣",J85)+1,LEN(J85))))</f>
        <v/>
      </c>
      <c r="X85" s="3" t="inlineStr">
        <is>
          <t>新北一</t>
        </is>
      </c>
      <c r="Y85" s="3">
        <f>VLOOKUP(V85,門市狀態!G:H,2,FALSE)</f>
        <v/>
      </c>
      <c r="Z85" s="371">
        <f>IF(D85="FVC7", IF(COUNTIF(特殊門市清單!N:N, B85)=0, "FVC7", VLOOKUP(B85,特殊門市清單!N:T,7,FALSE)), IF(AA85="v","Peplink",""))</f>
        <v/>
      </c>
      <c r="AA85" s="371">
        <f>IFERROR(VLOOKUP(B85,門市狀態!A:D,4,FALSE),"")</f>
        <v/>
      </c>
      <c r="AB85" s="379">
        <f>VLOOKUP(B85,門市主檔!A:B,2,FALSE)</f>
        <v/>
      </c>
      <c r="AC85" s="380" t="n"/>
      <c r="AD85" s="379" t="n"/>
      <c r="AE85" s="379" t="n"/>
      <c r="AF85" s="379" t="inlineStr">
        <is>
          <t>EDC</t>
        </is>
      </c>
      <c r="AG85" s="379" t="n"/>
      <c r="AH85" s="379" t="inlineStr">
        <is>
          <t>TVV</t>
        </is>
      </c>
    </row>
    <row r="86" hidden="1"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77">
        <f>IFERROR(LEFT(J86,FIND("縣",J86)),IFERROR(LEFT(J86,FIND("市",J86)),J86))</f>
        <v/>
      </c>
      <c r="V86" s="378">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78">
        <f>IFERROR(MID(J86,IFERROR(FIND("鄉",J86),IFERROR(FIND("鎮",J86),FIND("區",J86)))+1,LEN(J86)),IFERROR(MID(J86,FIND("市",J86)+1,LEN(J86)),MID(J86,FIND("縣",J86)+1,LEN(J86))))</f>
        <v/>
      </c>
      <c r="X86" s="3" t="inlineStr">
        <is>
          <t>新北一</t>
        </is>
      </c>
      <c r="Y86" s="3">
        <f>VLOOKUP(V86,門市狀態!G:H,2,FALSE)</f>
        <v/>
      </c>
      <c r="Z86" s="371">
        <f>IF(D86="FVC7", IF(COUNTIF(特殊門市清單!N:N, B86)=0, "FVC7", VLOOKUP(B86,特殊門市清單!N:T,7,FALSE)), IF(AA86="v","Peplink",""))</f>
        <v/>
      </c>
      <c r="AA86" s="371">
        <f>IFERROR(VLOOKUP(B86,門市狀態!A:D,4,FALSE),"")</f>
        <v/>
      </c>
      <c r="AB86" s="379">
        <f>VLOOKUP(B86,門市主檔!A:B,2,FALSE)</f>
        <v/>
      </c>
      <c r="AC86" s="380" t="n"/>
      <c r="AD86" s="379" t="n"/>
      <c r="AE86" s="379" t="n"/>
      <c r="AF86" s="379" t="inlineStr">
        <is>
          <t>EDC</t>
        </is>
      </c>
      <c r="AG86" s="379" t="n"/>
      <c r="AH86" s="379" t="n"/>
    </row>
    <row r="87" hidden="1"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77">
        <f>IFERROR(LEFT(J87,FIND("縣",J87)),IFERROR(LEFT(J87,FIND("市",J87)),J87))</f>
        <v/>
      </c>
      <c r="V87" s="378">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78">
        <f>IFERROR(MID(J87,IFERROR(FIND("鄉",J87),IFERROR(FIND("鎮",J87),FIND("區",J87)))+1,LEN(J87)),IFERROR(MID(J87,FIND("市",J87)+1,LEN(J87)),MID(J87,FIND("縣",J87)+1,LEN(J87))))</f>
        <v/>
      </c>
      <c r="X87" s="3" t="inlineStr">
        <is>
          <t>新北一</t>
        </is>
      </c>
      <c r="Y87" s="3">
        <f>VLOOKUP(V87,門市狀態!G:H,2,FALSE)</f>
        <v/>
      </c>
      <c r="Z87" s="371">
        <f>IF(D87="FVC7", IF(COUNTIF(特殊門市清單!N:N, B87)=0, "FVC7", VLOOKUP(B87,特殊門市清單!N:T,7,FALSE)), IF(AA87="v","Peplink",""))</f>
        <v/>
      </c>
      <c r="AA87" s="371">
        <f>IFERROR(VLOOKUP(B87,門市狀態!A:D,4,FALSE),"")</f>
        <v/>
      </c>
      <c r="AB87" s="379">
        <f>VLOOKUP(B87,門市主檔!A:B,2,FALSE)</f>
        <v/>
      </c>
      <c r="AC87" s="380" t="n"/>
      <c r="AD87" s="379" t="n"/>
      <c r="AE87" s="379" t="inlineStr">
        <is>
          <t>機上盒</t>
        </is>
      </c>
      <c r="AF87" s="379" t="inlineStr">
        <is>
          <t>EDC</t>
        </is>
      </c>
      <c r="AG87" s="379" t="n"/>
      <c r="AH87" s="379" t="n"/>
    </row>
    <row r="88" hidden="1"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77">
        <f>IFERROR(LEFT(J88,FIND("縣",J88)),IFERROR(LEFT(J88,FIND("市",J88)),J88))</f>
        <v/>
      </c>
      <c r="V88" s="378">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78">
        <f>IFERROR(MID(J88,IFERROR(FIND("鄉",J88),IFERROR(FIND("鎮",J88),FIND("區",J88)))+1,LEN(J88)),IFERROR(MID(J88,FIND("市",J88)+1,LEN(J88)),MID(J88,FIND("縣",J88)+1,LEN(J88))))</f>
        <v/>
      </c>
      <c r="X88" s="3" t="inlineStr">
        <is>
          <t>新北一</t>
        </is>
      </c>
      <c r="Y88" s="3">
        <f>VLOOKUP(V88,門市狀態!G:H,2,FALSE)</f>
        <v/>
      </c>
      <c r="Z88" s="371">
        <f>IF(D88="FVC7", IF(COUNTIF(特殊門市清單!N:N, B88)=0, "FVC7", VLOOKUP(B88,特殊門市清單!N:T,7,FALSE)), IF(AA88="v","Peplink",""))</f>
        <v/>
      </c>
      <c r="AA88" s="371">
        <f>IFERROR(VLOOKUP(B88,門市狀態!A:D,4,FALSE),"")</f>
        <v/>
      </c>
      <c r="AB88" s="379">
        <f>VLOOKUP(B88,門市主檔!A:B,2,FALSE)</f>
        <v/>
      </c>
      <c r="AC88" s="380" t="n"/>
      <c r="AD88" s="379" t="n"/>
      <c r="AE88" s="379" t="n"/>
      <c r="AF88" s="379" t="inlineStr">
        <is>
          <t>EDC</t>
        </is>
      </c>
      <c r="AG88" s="379" t="n"/>
      <c r="AH88" s="379" t="n"/>
    </row>
    <row r="89" hidden="1"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77">
        <f>IFERROR(LEFT(J89,FIND("縣",J89)),IFERROR(LEFT(J89,FIND("市",J89)),J89))</f>
        <v/>
      </c>
      <c r="V89" s="378">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78">
        <f>IFERROR(MID(J89,IFERROR(FIND("鄉",J89),IFERROR(FIND("鎮",J89),FIND("區",J89)))+1,LEN(J89)),IFERROR(MID(J89,FIND("市",J89)+1,LEN(J89)),MID(J89,FIND("縣",J89)+1,LEN(J89))))</f>
        <v/>
      </c>
      <c r="X89" s="3" t="inlineStr">
        <is>
          <t>新北一</t>
        </is>
      </c>
      <c r="Y89" s="3">
        <f>VLOOKUP(V89,門市狀態!G:H,2,FALSE)</f>
        <v/>
      </c>
      <c r="Z89" s="371">
        <f>IF(D89="FVC7", IF(COUNTIF(特殊門市清單!N:N, B89)=0, "FVC7", VLOOKUP(B89,特殊門市清單!N:T,7,FALSE)), IF(AA89="v","Peplink",""))</f>
        <v/>
      </c>
      <c r="AA89" s="371">
        <f>IFERROR(VLOOKUP(B89,門市狀態!A:D,4,FALSE),"")</f>
        <v/>
      </c>
      <c r="AB89" s="379">
        <f>VLOOKUP(B89,門市主檔!A:B,2,FALSE)</f>
        <v/>
      </c>
      <c r="AC89" s="380" t="n"/>
      <c r="AD89" s="379" t="n"/>
      <c r="AE89" s="379" t="n"/>
      <c r="AF89" s="379" t="inlineStr">
        <is>
          <t>EDC</t>
        </is>
      </c>
      <c r="AG89" s="379" t="n"/>
      <c r="AH89" s="379" t="n"/>
    </row>
    <row r="90" hidden="1"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77">
        <f>IFERROR(LEFT(J90,FIND("縣",J90)),IFERROR(LEFT(J90,FIND("市",J90)),J90))</f>
        <v/>
      </c>
      <c r="V90" s="378">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78">
        <f>IFERROR(MID(J90,IFERROR(FIND("鄉",J90),IFERROR(FIND("鎮",J90),FIND("區",J90)))+1,LEN(J90)),IFERROR(MID(J90,FIND("市",J90)+1,LEN(J90)),MID(J90,FIND("縣",J90)+1,LEN(J90))))</f>
        <v/>
      </c>
      <c r="X90" s="3" t="inlineStr">
        <is>
          <t>新北一</t>
        </is>
      </c>
      <c r="Y90" s="3">
        <f>VLOOKUP(V90,門市狀態!G:H,2,FALSE)</f>
        <v/>
      </c>
      <c r="Z90" s="371">
        <f>IF(D90="FVC7", IF(COUNTIF(特殊門市清單!N:N, B90)=0, "FVC7", VLOOKUP(B90,特殊門市清單!N:T,7,FALSE)), IF(AA90="v","Peplink",""))</f>
        <v/>
      </c>
      <c r="AA90" s="371">
        <f>IFERROR(VLOOKUP(B90,門市狀態!A:D,4,FALSE),"")</f>
        <v/>
      </c>
      <c r="AB90" s="379">
        <f>VLOOKUP(B90,門市主檔!A:B,2,FALSE)</f>
        <v/>
      </c>
      <c r="AC90" s="380" t="n"/>
      <c r="AD90" s="379" t="n"/>
      <c r="AE90" s="379" t="n"/>
      <c r="AF90" s="379" t="inlineStr">
        <is>
          <t>EDC</t>
        </is>
      </c>
      <c r="AG90" s="379" t="n"/>
      <c r="AH90" s="379" t="n"/>
    </row>
    <row r="91" hidden="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77">
        <f>IFERROR(LEFT(J91,FIND("縣",J91)),IFERROR(LEFT(J91,FIND("市",J91)),J91))</f>
        <v/>
      </c>
      <c r="V91" s="378">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78">
        <f>IFERROR(MID(J91,IFERROR(FIND("鄉",J91),IFERROR(FIND("鎮",J91),FIND("區",J91)))+1,LEN(J91)),IFERROR(MID(J91,FIND("市",J91)+1,LEN(J91)),MID(J91,FIND("縣",J91)+1,LEN(J91))))</f>
        <v/>
      </c>
      <c r="X91" s="3" t="inlineStr">
        <is>
          <t>新北一</t>
        </is>
      </c>
      <c r="Y91" s="3">
        <f>VLOOKUP(V91,門市狀態!G:H,2,FALSE)</f>
        <v/>
      </c>
      <c r="Z91" s="371">
        <f>IF(D91="FVC7", IF(COUNTIF(特殊門市清單!N:N, B91)=0, "FVC7", VLOOKUP(B91,特殊門市清單!N:T,7,FALSE)), IF(AA91="v","Peplink",""))</f>
        <v/>
      </c>
      <c r="AA91" s="371">
        <f>IFERROR(VLOOKUP(B91,門市狀態!A:D,4,FALSE),"")</f>
        <v/>
      </c>
      <c r="AB91" s="379">
        <f>VLOOKUP(B91,門市主檔!A:B,2,FALSE)</f>
        <v/>
      </c>
      <c r="AC91" s="380" t="n"/>
      <c r="AD91" s="379" t="n"/>
      <c r="AE91" s="379" t="n"/>
      <c r="AF91" s="379" t="inlineStr">
        <is>
          <t>EDC</t>
        </is>
      </c>
      <c r="AG91" s="379" t="n"/>
      <c r="AH91" s="379" t="n"/>
    </row>
    <row r="92" hidden="1"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77">
        <f>IFERROR(LEFT(J92,FIND("縣",J92)),IFERROR(LEFT(J92,FIND("市",J92)),J92))</f>
        <v/>
      </c>
      <c r="V92" s="378">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78">
        <f>IFERROR(MID(J92,IFERROR(FIND("鄉",J92),IFERROR(FIND("鎮",J92),FIND("區",J92)))+1,LEN(J92)),IFERROR(MID(J92,FIND("市",J92)+1,LEN(J92)),MID(J92,FIND("縣",J92)+1,LEN(J92))))</f>
        <v/>
      </c>
      <c r="X92" s="3" t="inlineStr">
        <is>
          <t>新北一</t>
        </is>
      </c>
      <c r="Y92" s="3">
        <f>VLOOKUP(V92,門市狀態!G:H,2,FALSE)</f>
        <v/>
      </c>
      <c r="Z92" s="371">
        <f>IF(D92="FVC7", IF(COUNTIF(特殊門市清單!N:N, B92)=0, "FVC7", VLOOKUP(B92,特殊門市清單!N:T,7,FALSE)), IF(AA92="v","Peplink",""))</f>
        <v/>
      </c>
      <c r="AA92" s="371">
        <f>IFERROR(VLOOKUP(B92,門市狀態!A:D,4,FALSE),"")</f>
        <v/>
      </c>
      <c r="AB92" s="379">
        <f>VLOOKUP(B92,門市主檔!A:B,2,FALSE)</f>
        <v/>
      </c>
      <c r="AC92" s="380" t="n"/>
      <c r="AD92" s="379" t="n"/>
      <c r="AE92" s="379" t="n"/>
      <c r="AF92" s="379" t="inlineStr">
        <is>
          <t>EDC</t>
        </is>
      </c>
      <c r="AG92" s="379" t="n"/>
      <c r="AH92" s="379" t="n"/>
    </row>
    <row r="93" hidden="1"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77">
        <f>IFERROR(LEFT(J93,FIND("縣",J93)),IFERROR(LEFT(J93,FIND("市",J93)),J93))</f>
        <v/>
      </c>
      <c r="V93" s="378">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78">
        <f>IFERROR(MID(J93,IFERROR(FIND("鄉",J93),IFERROR(FIND("鎮",J93),FIND("區",J93)))+1,LEN(J93)),IFERROR(MID(J93,FIND("市",J93)+1,LEN(J93)),MID(J93,FIND("縣",J93)+1,LEN(J93))))</f>
        <v/>
      </c>
      <c r="X93" s="3" t="inlineStr">
        <is>
          <t>新北一</t>
        </is>
      </c>
      <c r="Y93" s="3">
        <f>VLOOKUP(V93,門市狀態!G:H,2,FALSE)</f>
        <v/>
      </c>
      <c r="Z93" s="371">
        <f>IF(D93="FVC7", IF(COUNTIF(特殊門市清單!N:N, B93)=0, "FVC7", VLOOKUP(B93,特殊門市清單!N:T,7,FALSE)), IF(AA93="v","Peplink",""))</f>
        <v/>
      </c>
      <c r="AA93" s="371">
        <f>IFERROR(VLOOKUP(B93,門市狀態!A:D,4,FALSE),"")</f>
        <v/>
      </c>
      <c r="AB93" s="379">
        <f>VLOOKUP(B93,門市主檔!A:B,2,FALSE)</f>
        <v/>
      </c>
      <c r="AC93" s="380" t="n"/>
      <c r="AD93" s="379" t="n"/>
      <c r="AE93" s="379" t="n"/>
      <c r="AF93" s="379" t="inlineStr">
        <is>
          <t>EDC</t>
        </is>
      </c>
      <c r="AG93" s="379" t="n"/>
      <c r="AH93" s="379" t="inlineStr">
        <is>
          <t>TVV</t>
        </is>
      </c>
    </row>
    <row r="94" hidden="1"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77">
        <f>IFERROR(LEFT(J94,FIND("縣",J94)),IFERROR(LEFT(J94,FIND("市",J94)),J94))</f>
        <v/>
      </c>
      <c r="V94" s="378">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78">
        <f>IFERROR(MID(J94,IFERROR(FIND("鄉",J94),IFERROR(FIND("鎮",J94),FIND("區",J94)))+1,LEN(J94)),IFERROR(MID(J94,FIND("市",J94)+1,LEN(J94)),MID(J94,FIND("縣",J94)+1,LEN(J94))))</f>
        <v/>
      </c>
      <c r="X94" s="3" t="inlineStr">
        <is>
          <t>新北一</t>
        </is>
      </c>
      <c r="Y94" s="3">
        <f>VLOOKUP(V94,門市狀態!G:H,2,FALSE)</f>
        <v/>
      </c>
      <c r="Z94" s="371">
        <f>IF(D94="FVC7", IF(COUNTIF(特殊門市清單!N:N, B94)=0, "FVC7", VLOOKUP(B94,特殊門市清單!N:T,7,FALSE)), IF(AA94="v","Peplink",""))</f>
        <v/>
      </c>
      <c r="AA94" s="371">
        <f>IFERROR(VLOOKUP(B94,門市狀態!A:D,4,FALSE),"")</f>
        <v/>
      </c>
      <c r="AB94" s="379">
        <f>VLOOKUP(B94,門市主檔!A:B,2,FALSE)</f>
        <v/>
      </c>
      <c r="AC94" s="380" t="n"/>
      <c r="AD94" s="379" t="n"/>
      <c r="AE94" s="379" t="n"/>
      <c r="AF94" s="379" t="inlineStr">
        <is>
          <t>EDC</t>
        </is>
      </c>
      <c r="AG94" s="379" t="n"/>
      <c r="AH94" s="379" t="n"/>
    </row>
    <row r="95" hidden="1"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77">
        <f>IFERROR(LEFT(J95,FIND("縣",J95)),IFERROR(LEFT(J95,FIND("市",J95)),J95))</f>
        <v/>
      </c>
      <c r="V95" s="378">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78">
        <f>IFERROR(MID(J95,IFERROR(FIND("鄉",J95),IFERROR(FIND("鎮",J95),FIND("區",J95)))+1,LEN(J95)),IFERROR(MID(J95,FIND("市",J95)+1,LEN(J95)),MID(J95,FIND("縣",J95)+1,LEN(J95))))</f>
        <v/>
      </c>
      <c r="X95" s="3" t="inlineStr">
        <is>
          <t>新北一</t>
        </is>
      </c>
      <c r="Y95" s="3">
        <f>VLOOKUP(V95,門市狀態!G:H,2,FALSE)</f>
        <v/>
      </c>
      <c r="Z95" s="371">
        <f>IF(D95="FVC7", IF(COUNTIF(特殊門市清單!N:N, B95)=0, "FVC7", VLOOKUP(B95,特殊門市清單!N:T,7,FALSE)), IF(AA95="v","Peplink",""))</f>
        <v/>
      </c>
      <c r="AA95" s="371">
        <f>IFERROR(VLOOKUP(B95,門市狀態!A:D,4,FALSE),"")</f>
        <v/>
      </c>
      <c r="AB95" s="379">
        <f>VLOOKUP(B95,門市主檔!A:B,2,FALSE)</f>
        <v/>
      </c>
      <c r="AC95" s="380" t="n"/>
      <c r="AD95" s="379" t="n"/>
      <c r="AE95" s="379" t="n"/>
      <c r="AF95" s="379" t="inlineStr">
        <is>
          <t>EDC</t>
        </is>
      </c>
      <c r="AG95" s="379" t="n"/>
      <c r="AH95" s="379" t="n"/>
    </row>
    <row r="96" hidden="1"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77">
        <f>IFERROR(LEFT(J96,FIND("縣",J96)),IFERROR(LEFT(J96,FIND("市",J96)),J96))</f>
        <v/>
      </c>
      <c r="V96" s="378">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78">
        <f>IFERROR(MID(J96,IFERROR(FIND("鄉",J96),IFERROR(FIND("鎮",J96),FIND("區",J96)))+1,LEN(J96)),IFERROR(MID(J96,FIND("市",J96)+1,LEN(J96)),MID(J96,FIND("縣",J96)+1,LEN(J96))))</f>
        <v/>
      </c>
      <c r="X96" s="3" t="inlineStr">
        <is>
          <t>新北一</t>
        </is>
      </c>
      <c r="Y96" s="3">
        <f>VLOOKUP(V96,門市狀態!G:H,2,FALSE)</f>
        <v/>
      </c>
      <c r="Z96" s="371">
        <f>IF(D96="FVC7", IF(COUNTIF(特殊門市清單!N:N, B96)=0, "FVC7", VLOOKUP(B96,特殊門市清單!N:T,7,FALSE)), IF(AA96="v","Peplink",""))</f>
        <v/>
      </c>
      <c r="AA96" s="371">
        <f>IFERROR(VLOOKUP(B96,門市狀態!A:D,4,FALSE),"")</f>
        <v/>
      </c>
      <c r="AB96" s="379">
        <f>VLOOKUP(B96,門市主檔!A:B,2,FALSE)</f>
        <v/>
      </c>
      <c r="AC96" s="380" t="n"/>
      <c r="AD96" s="379" t="n"/>
      <c r="AE96" s="379" t="n"/>
      <c r="AF96" s="379" t="inlineStr">
        <is>
          <t>EDC</t>
        </is>
      </c>
      <c r="AG96" s="379" t="n"/>
      <c r="AH96" s="379" t="n"/>
    </row>
    <row r="97" hidden="1"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77">
        <f>IFERROR(LEFT(J97,FIND("縣",J97)),IFERROR(LEFT(J97,FIND("市",J97)),J97))</f>
        <v/>
      </c>
      <c r="V97" s="378">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78">
        <f>IFERROR(MID(J97,IFERROR(FIND("鄉",J97),IFERROR(FIND("鎮",J97),FIND("區",J97)))+1,LEN(J97)),IFERROR(MID(J97,FIND("市",J97)+1,LEN(J97)),MID(J97,FIND("縣",J97)+1,LEN(J97))))</f>
        <v/>
      </c>
      <c r="X97" s="3" t="inlineStr">
        <is>
          <t>新北一</t>
        </is>
      </c>
      <c r="Y97" s="3">
        <f>VLOOKUP(V97,門市狀態!G:H,2,FALSE)</f>
        <v/>
      </c>
      <c r="Z97" s="371">
        <f>IF(D97="FVC7", IF(COUNTIF(特殊門市清單!N:N, B97)=0, "FVC7", VLOOKUP(B97,特殊門市清單!N:T,7,FALSE)), IF(AA97="v","Peplink",""))</f>
        <v/>
      </c>
      <c r="AA97" s="371">
        <f>IFERROR(VLOOKUP(B97,門市狀態!A:D,4,FALSE),"")</f>
        <v/>
      </c>
      <c r="AB97" s="379">
        <f>VLOOKUP(B97,門市主檔!A:B,2,FALSE)</f>
        <v/>
      </c>
      <c r="AC97" s="380" t="n"/>
      <c r="AD97" s="379" t="n"/>
      <c r="AE97" s="379" t="n"/>
      <c r="AF97" s="379" t="inlineStr">
        <is>
          <t>EDC</t>
        </is>
      </c>
      <c r="AG97" s="379" t="n"/>
      <c r="AH97" s="379" t="n"/>
    </row>
    <row r="98" hidden="1"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77">
        <f>IFERROR(LEFT(J98,FIND("縣",J98)),IFERROR(LEFT(J98,FIND("市",J98)),J98))</f>
        <v/>
      </c>
      <c r="V98" s="378">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78">
        <f>IFERROR(MID(J98,IFERROR(FIND("鄉",J98),IFERROR(FIND("鎮",J98),FIND("區",J98)))+1,LEN(J98)),IFERROR(MID(J98,FIND("市",J98)+1,LEN(J98)),MID(J98,FIND("縣",J98)+1,LEN(J98))))</f>
        <v/>
      </c>
      <c r="X98" s="3" t="inlineStr">
        <is>
          <t>新北一</t>
        </is>
      </c>
      <c r="Y98" s="3">
        <f>VLOOKUP(V98,門市狀態!G:H,2,FALSE)</f>
        <v/>
      </c>
      <c r="Z98" s="371">
        <f>IF(D98="FVC7", IF(COUNTIF(特殊門市清單!N:N, B98)=0, "FVC7", VLOOKUP(B98,特殊門市清單!N:T,7,FALSE)), IF(AA98="v","Peplink",""))</f>
        <v/>
      </c>
      <c r="AA98" s="371">
        <f>IFERROR(VLOOKUP(B98,門市狀態!A:D,4,FALSE),"")</f>
        <v/>
      </c>
      <c r="AB98" s="379">
        <f>VLOOKUP(B98,門市主檔!A:B,2,FALSE)</f>
        <v/>
      </c>
      <c r="AC98" s="380" t="n"/>
      <c r="AD98" s="379" t="n"/>
      <c r="AE98" s="379" t="n"/>
      <c r="AF98" s="379" t="inlineStr">
        <is>
          <t>EDC</t>
        </is>
      </c>
      <c r="AG98" s="379" t="n"/>
      <c r="AH98" s="379" t="n"/>
    </row>
    <row r="99" hidden="1"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77">
        <f>IFERROR(LEFT(J99,FIND("縣",J99)),IFERROR(LEFT(J99,FIND("市",J99)),J99))</f>
        <v/>
      </c>
      <c r="V99" s="378">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78">
        <f>IFERROR(MID(J99,IFERROR(FIND("鄉",J99),IFERROR(FIND("鎮",J99),FIND("區",J99)))+1,LEN(J99)),IFERROR(MID(J99,FIND("市",J99)+1,LEN(J99)),MID(J99,FIND("縣",J99)+1,LEN(J99))))</f>
        <v/>
      </c>
      <c r="X99" s="3" t="inlineStr">
        <is>
          <t>新北一</t>
        </is>
      </c>
      <c r="Y99" s="3">
        <f>VLOOKUP(V99,門市狀態!G:H,2,FALSE)</f>
        <v/>
      </c>
      <c r="Z99" s="371">
        <f>IF(D99="FVC7", IF(COUNTIF(特殊門市清單!N:N, B99)=0, "FVC7", VLOOKUP(B99,特殊門市清單!N:T,7,FALSE)), IF(AA99="v","Peplink",""))</f>
        <v/>
      </c>
      <c r="AA99" s="371">
        <f>IFERROR(VLOOKUP(B99,門市狀態!A:D,4,FALSE),"")</f>
        <v/>
      </c>
      <c r="AB99" s="379">
        <f>VLOOKUP(B99,門市主檔!A:B,2,FALSE)</f>
        <v/>
      </c>
      <c r="AC99" s="380" t="n"/>
      <c r="AD99" s="379" t="n"/>
      <c r="AE99" s="379" t="inlineStr">
        <is>
          <t>機上盒</t>
        </is>
      </c>
      <c r="AF99" s="379" t="inlineStr">
        <is>
          <t>EDC</t>
        </is>
      </c>
      <c r="AG99" s="379" t="n"/>
      <c r="AH99" s="379" t="n"/>
    </row>
    <row r="100" hidden="1"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77">
        <f>IFERROR(LEFT(J100,FIND("縣",J100)),IFERROR(LEFT(J100,FIND("市",J100)),J100))</f>
        <v/>
      </c>
      <c r="V100" s="378">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78">
        <f>IFERROR(MID(J100,IFERROR(FIND("鄉",J100),IFERROR(FIND("鎮",J100),FIND("區",J100)))+1,LEN(J100)),IFERROR(MID(J100,FIND("市",J100)+1,LEN(J100)),MID(J100,FIND("縣",J100)+1,LEN(J100))))</f>
        <v/>
      </c>
      <c r="X100" s="3" t="inlineStr">
        <is>
          <t>新北一</t>
        </is>
      </c>
      <c r="Y100" s="3">
        <f>VLOOKUP(V100,門市狀態!G:H,2,FALSE)</f>
        <v/>
      </c>
      <c r="Z100" s="371">
        <f>IF(D100="FVC7", IF(COUNTIF(特殊門市清單!N:N, B100)=0, "FVC7", VLOOKUP(B100,特殊門市清單!N:T,7,FALSE)), IF(AA100="v","Peplink",""))</f>
        <v/>
      </c>
      <c r="AA100" s="371">
        <f>IFERROR(VLOOKUP(B100,門市狀態!A:D,4,FALSE),"")</f>
        <v/>
      </c>
      <c r="AB100" s="379">
        <f>VLOOKUP(B100,門市主檔!A:B,2,FALSE)</f>
        <v/>
      </c>
      <c r="AC100" s="380" t="n"/>
      <c r="AD100" s="379" t="n"/>
      <c r="AE100" s="379" t="inlineStr">
        <is>
          <t>機上盒</t>
        </is>
      </c>
      <c r="AF100" s="379" t="inlineStr">
        <is>
          <t>EDC</t>
        </is>
      </c>
      <c r="AG100" s="379" t="n"/>
      <c r="AH100" s="379" t="n"/>
    </row>
    <row r="101" hidden="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77">
        <f>IFERROR(LEFT(J101,FIND("縣",J101)),IFERROR(LEFT(J101,FIND("市",J101)),J101))</f>
        <v/>
      </c>
      <c r="V101" s="378">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78">
        <f>IFERROR(MID(J101,IFERROR(FIND("鄉",J101),IFERROR(FIND("鎮",J101),FIND("區",J101)))+1,LEN(J101)),IFERROR(MID(J101,FIND("市",J101)+1,LEN(J101)),MID(J101,FIND("縣",J101)+1,LEN(J101))))</f>
        <v/>
      </c>
      <c r="X101" s="3" t="inlineStr">
        <is>
          <t>新北一</t>
        </is>
      </c>
      <c r="Y101" s="3">
        <f>VLOOKUP(V101,門市狀態!G:H,2,FALSE)</f>
        <v/>
      </c>
      <c r="Z101" s="371">
        <f>IF(D101="FVC7", IF(COUNTIF(特殊門市清單!N:N, B101)=0, "FVC7", VLOOKUP(B101,特殊門市清單!N:T,7,FALSE)), IF(AA101="v","Peplink",""))</f>
        <v/>
      </c>
      <c r="AA101" s="371">
        <f>IFERROR(VLOOKUP(B101,門市狀態!A:D,4,FALSE),"")</f>
        <v/>
      </c>
      <c r="AB101" s="379">
        <f>VLOOKUP(B101,門市主檔!A:B,2,FALSE)</f>
        <v/>
      </c>
      <c r="AC101" s="380" t="n"/>
      <c r="AD101" s="379" t="n"/>
      <c r="AE101" s="379" t="n"/>
      <c r="AF101" s="379" t="inlineStr">
        <is>
          <t>EDC</t>
        </is>
      </c>
      <c r="AG101" s="379" t="n"/>
      <c r="AH101" s="379" t="n"/>
    </row>
    <row r="102" hidden="1"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77">
        <f>IFERROR(LEFT(J102,FIND("縣",J102)),IFERROR(LEFT(J102,FIND("市",J102)),J102))</f>
        <v/>
      </c>
      <c r="V102" s="378">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78">
        <f>IFERROR(MID(J102,IFERROR(FIND("鄉",J102),IFERROR(FIND("鎮",J102),FIND("區",J102)))+1,LEN(J102)),IFERROR(MID(J102,FIND("市",J102)+1,LEN(J102)),MID(J102,FIND("縣",J102)+1,LEN(J102))))</f>
        <v/>
      </c>
      <c r="X102" s="3" t="inlineStr">
        <is>
          <t>新北一</t>
        </is>
      </c>
      <c r="Y102" s="3">
        <f>VLOOKUP(V102,門市狀態!G:H,2,FALSE)</f>
        <v/>
      </c>
      <c r="Z102" s="371">
        <f>IF(D102="FVC7", IF(COUNTIF(特殊門市清單!N:N, B102)=0, "FVC7", VLOOKUP(B102,特殊門市清單!N:T,7,FALSE)), IF(AA102="v","Peplink",""))</f>
        <v/>
      </c>
      <c r="AA102" s="371">
        <f>IFERROR(VLOOKUP(B102,門市狀態!A:D,4,FALSE),"")</f>
        <v/>
      </c>
      <c r="AB102" s="379">
        <f>VLOOKUP(B102,門市主檔!A:B,2,FALSE)</f>
        <v/>
      </c>
      <c r="AC102" s="380" t="n"/>
      <c r="AD102" s="379" t="n"/>
      <c r="AE102" s="379" t="n"/>
      <c r="AF102" s="379" t="inlineStr">
        <is>
          <t>EDC</t>
        </is>
      </c>
      <c r="AG102" s="379" t="n"/>
      <c r="AH102" s="379" t="n"/>
    </row>
    <row r="103" hidden="1"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77">
        <f>IFERROR(LEFT(J103,FIND("縣",J103)),IFERROR(LEFT(J103,FIND("市",J103)),J103))</f>
        <v/>
      </c>
      <c r="V103" s="378">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78">
        <f>IFERROR(MID(J103,IFERROR(FIND("鄉",J103),IFERROR(FIND("鎮",J103),FIND("區",J103)))+1,LEN(J103)),IFERROR(MID(J103,FIND("市",J103)+1,LEN(J103)),MID(J103,FIND("縣",J103)+1,LEN(J103))))</f>
        <v/>
      </c>
      <c r="X103" s="3" t="inlineStr">
        <is>
          <t>新北一</t>
        </is>
      </c>
      <c r="Y103" s="3">
        <f>VLOOKUP(V103,門市狀態!G:H,2,FALSE)</f>
        <v/>
      </c>
      <c r="Z103" s="371">
        <f>IF(D103="FVC7", IF(COUNTIF(特殊門市清單!N:N, B103)=0, "FVC7", VLOOKUP(B103,特殊門市清單!N:T,7,FALSE)), IF(AA103="v","Peplink",""))</f>
        <v/>
      </c>
      <c r="AA103" s="371">
        <f>IFERROR(VLOOKUP(B103,門市狀態!A:D,4,FALSE),"")</f>
        <v/>
      </c>
      <c r="AB103" s="379">
        <f>VLOOKUP(B103,門市主檔!A:B,2,FALSE)</f>
        <v/>
      </c>
      <c r="AC103" s="380" t="n"/>
      <c r="AD103" s="379" t="n"/>
      <c r="AE103" s="379" t="n"/>
      <c r="AF103" s="379" t="inlineStr">
        <is>
          <t>EDC</t>
        </is>
      </c>
      <c r="AG103" s="379" t="n"/>
      <c r="AH103" s="379" t="n"/>
    </row>
    <row r="104" hidden="1"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77">
        <f>IFERROR(LEFT(J104,FIND("縣",J104)),IFERROR(LEFT(J104,FIND("市",J104)),J104))</f>
        <v/>
      </c>
      <c r="V104" s="378">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78">
        <f>IFERROR(MID(J104,IFERROR(FIND("鄉",J104),IFERROR(FIND("鎮",J104),FIND("區",J104)))+1,LEN(J104)),IFERROR(MID(J104,FIND("市",J104)+1,LEN(J104)),MID(J104,FIND("縣",J104)+1,LEN(J104))))</f>
        <v/>
      </c>
      <c r="X104" s="3" t="inlineStr">
        <is>
          <t>新北一</t>
        </is>
      </c>
      <c r="Y104" s="3">
        <f>VLOOKUP(V104,門市狀態!G:H,2,FALSE)</f>
        <v/>
      </c>
      <c r="Z104" s="371">
        <f>IF(D104="FVC7", IF(COUNTIF(特殊門市清單!N:N, B104)=0, "FVC7", VLOOKUP(B104,特殊門市清單!N:T,7,FALSE)), IF(AA104="v","Peplink",""))</f>
        <v/>
      </c>
      <c r="AA104" s="371">
        <f>IFERROR(VLOOKUP(B104,門市狀態!A:D,4,FALSE),"")</f>
        <v/>
      </c>
      <c r="AB104" s="379">
        <f>VLOOKUP(B104,門市主檔!A:B,2,FALSE)</f>
        <v/>
      </c>
      <c r="AC104" s="380" t="n"/>
      <c r="AD104" s="379" t="n"/>
      <c r="AE104" s="379" t="inlineStr">
        <is>
          <t>機上盒</t>
        </is>
      </c>
      <c r="AF104" s="379" t="inlineStr">
        <is>
          <t>EDC</t>
        </is>
      </c>
      <c r="AG104" s="379" t="n"/>
      <c r="AH104" s="379" t="n"/>
    </row>
    <row r="105" hidden="1"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77">
        <f>IFERROR(LEFT(J105,FIND("縣",J105)),IFERROR(LEFT(J105,FIND("市",J105)),J105))</f>
        <v/>
      </c>
      <c r="V105" s="378">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78">
        <f>IFERROR(MID(J105,IFERROR(FIND("鄉",J105),IFERROR(FIND("鎮",J105),FIND("區",J105)))+1,LEN(J105)),IFERROR(MID(J105,FIND("市",J105)+1,LEN(J105)),MID(J105,FIND("縣",J105)+1,LEN(J105))))</f>
        <v/>
      </c>
      <c r="X105" s="3" t="inlineStr">
        <is>
          <t>新北一</t>
        </is>
      </c>
      <c r="Y105" s="3">
        <f>VLOOKUP(V105,門市狀態!G:H,2,FALSE)</f>
        <v/>
      </c>
      <c r="Z105" s="371">
        <f>IF(D105="FVC7", IF(COUNTIF(特殊門市清單!N:N, B105)=0, "FVC7", VLOOKUP(B105,特殊門市清單!N:T,7,FALSE)), IF(AA105="v","Peplink",""))</f>
        <v/>
      </c>
      <c r="AA105" s="371">
        <f>IFERROR(VLOOKUP(B105,門市狀態!A:D,4,FALSE),"")</f>
        <v/>
      </c>
      <c r="AB105" s="379">
        <f>VLOOKUP(B105,門市主檔!A:B,2,FALSE)</f>
        <v/>
      </c>
      <c r="AC105" s="380" t="n"/>
      <c r="AD105" s="379" t="n"/>
      <c r="AE105" s="379" t="inlineStr">
        <is>
          <t>機上盒</t>
        </is>
      </c>
      <c r="AF105" s="379" t="inlineStr">
        <is>
          <t>EDC</t>
        </is>
      </c>
      <c r="AG105" s="379" t="n"/>
      <c r="AH105" s="379" t="n"/>
    </row>
    <row r="106" hidden="1"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77">
        <f>IFERROR(LEFT(J106,FIND("縣",J106)),IFERROR(LEFT(J106,FIND("市",J106)),J106))</f>
        <v/>
      </c>
      <c r="V106" s="378">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78">
        <f>IFERROR(MID(J106,IFERROR(FIND("鄉",J106),IFERROR(FIND("鎮",J106),FIND("區",J106)))+1,LEN(J106)),IFERROR(MID(J106,FIND("市",J106)+1,LEN(J106)),MID(J106,FIND("縣",J106)+1,LEN(J106))))</f>
        <v/>
      </c>
      <c r="X106" s="3" t="inlineStr">
        <is>
          <t>新北一</t>
        </is>
      </c>
      <c r="Y106" s="3">
        <f>VLOOKUP(V106,門市狀態!G:H,2,FALSE)</f>
        <v/>
      </c>
      <c r="Z106" s="371">
        <f>IF(D106="FVC7", IF(COUNTIF(特殊門市清單!N:N, B106)=0, "FVC7", VLOOKUP(B106,特殊門市清單!N:T,7,FALSE)), IF(AA106="v","Peplink",""))</f>
        <v/>
      </c>
      <c r="AA106" s="371">
        <f>IFERROR(VLOOKUP(B106,門市狀態!A:D,4,FALSE),"")</f>
        <v/>
      </c>
      <c r="AB106" s="379">
        <f>VLOOKUP(B106,門市主檔!A:B,2,FALSE)</f>
        <v/>
      </c>
      <c r="AC106" s="380" t="n"/>
      <c r="AD106" s="379" t="n"/>
      <c r="AE106" s="379" t="n"/>
      <c r="AF106" s="379" t="inlineStr">
        <is>
          <t>EDC</t>
        </is>
      </c>
      <c r="AG106" s="379" t="n"/>
      <c r="AH106" s="379" t="n"/>
    </row>
    <row r="107" hidden="1"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77">
        <f>IFERROR(LEFT(J107,FIND("縣",J107)),IFERROR(LEFT(J107,FIND("市",J107)),J107))</f>
        <v/>
      </c>
      <c r="V107" s="378">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78">
        <f>IFERROR(MID(J107,IFERROR(FIND("鄉",J107),IFERROR(FIND("鎮",J107),FIND("區",J107)))+1,LEN(J107)),IFERROR(MID(J107,FIND("市",J107)+1,LEN(J107)),MID(J107,FIND("縣",J107)+1,LEN(J107))))</f>
        <v/>
      </c>
      <c r="X107" s="3" t="inlineStr">
        <is>
          <t>新北一</t>
        </is>
      </c>
      <c r="Y107" s="3">
        <f>VLOOKUP(V107,門市狀態!G:H,2,FALSE)</f>
        <v/>
      </c>
      <c r="Z107" s="371">
        <f>IF(D107="FVC7", IF(COUNTIF(特殊門市清單!N:N, B107)=0, "FVC7", VLOOKUP(B107,特殊門市清單!N:T,7,FALSE)), IF(AA107="v","Peplink",""))</f>
        <v/>
      </c>
      <c r="AA107" s="371">
        <f>IFERROR(VLOOKUP(B107,門市狀態!A:D,4,FALSE),"")</f>
        <v/>
      </c>
      <c r="AB107" s="379">
        <f>VLOOKUP(B107,門市主檔!A:B,2,FALSE)</f>
        <v/>
      </c>
      <c r="AC107" s="380" t="n"/>
      <c r="AD107" s="379" t="n"/>
      <c r="AE107" s="379" t="n"/>
      <c r="AF107" s="379" t="inlineStr">
        <is>
          <t>EDC</t>
        </is>
      </c>
      <c r="AG107" s="379" t="n"/>
      <c r="AH107" s="379" t="n"/>
    </row>
    <row r="108" hidden="1"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77">
        <f>IFERROR(LEFT(J108,FIND("縣",J108)),IFERROR(LEFT(J108,FIND("市",J108)),J108))</f>
        <v/>
      </c>
      <c r="V108" s="378">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78">
        <f>IFERROR(MID(J108,IFERROR(FIND("鄉",J108),IFERROR(FIND("鎮",J108),FIND("區",J108)))+1,LEN(J108)),IFERROR(MID(J108,FIND("市",J108)+1,LEN(J108)),MID(J108,FIND("縣",J108)+1,LEN(J108))))</f>
        <v/>
      </c>
      <c r="X108" s="3" t="inlineStr">
        <is>
          <t>新北一</t>
        </is>
      </c>
      <c r="Y108" s="3">
        <f>VLOOKUP(V108,門市狀態!G:H,2,FALSE)</f>
        <v/>
      </c>
      <c r="Z108" s="371">
        <f>IF(D108="FVC7", IF(COUNTIF(特殊門市清單!N:N, B108)=0, "FVC7", VLOOKUP(B108,特殊門市清單!N:T,7,FALSE)), IF(AA108="v","Peplink",""))</f>
        <v/>
      </c>
      <c r="AA108" s="371">
        <f>IFERROR(VLOOKUP(B108,門市狀態!A:D,4,FALSE),"")</f>
        <v/>
      </c>
      <c r="AB108" s="379">
        <f>VLOOKUP(B108,門市主檔!A:B,2,FALSE)</f>
        <v/>
      </c>
      <c r="AC108" s="380" t="n"/>
      <c r="AD108" s="379" t="n"/>
      <c r="AE108" s="379" t="inlineStr">
        <is>
          <t>機上盒</t>
        </is>
      </c>
      <c r="AF108" s="379" t="inlineStr">
        <is>
          <t>EDC</t>
        </is>
      </c>
      <c r="AG108" s="379" t="n"/>
      <c r="AH108" s="379" t="n"/>
    </row>
    <row r="109" hidden="1"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77">
        <f>IFERROR(LEFT(J109,FIND("縣",J109)),IFERROR(LEFT(J109,FIND("市",J109)),J109))</f>
        <v/>
      </c>
      <c r="V109" s="378">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78">
        <f>IFERROR(MID(J109,IFERROR(FIND("鄉",J109),IFERROR(FIND("鎮",J109),FIND("區",J109)))+1,LEN(J109)),IFERROR(MID(J109,FIND("市",J109)+1,LEN(J109)),MID(J109,FIND("縣",J109)+1,LEN(J109))))</f>
        <v/>
      </c>
      <c r="X109" s="3" t="inlineStr">
        <is>
          <t>新北一</t>
        </is>
      </c>
      <c r="Y109" s="3">
        <f>VLOOKUP(V109,門市狀態!G:H,2,FALSE)</f>
        <v/>
      </c>
      <c r="Z109" s="371">
        <f>IF(D109="FVC7", IF(COUNTIF(特殊門市清單!N:N, B109)=0, "FVC7", VLOOKUP(B109,特殊門市清單!N:T,7,FALSE)), IF(AA109="v","Peplink",""))</f>
        <v/>
      </c>
      <c r="AA109" s="371">
        <f>IFERROR(VLOOKUP(B109,門市狀態!A:D,4,FALSE),"")</f>
        <v/>
      </c>
      <c r="AB109" s="379">
        <f>VLOOKUP(B109,門市主檔!A:B,2,FALSE)</f>
        <v/>
      </c>
      <c r="AC109" s="380" t="n"/>
      <c r="AD109" s="379" t="n"/>
      <c r="AE109" s="379" t="n"/>
      <c r="AF109" s="379" t="inlineStr">
        <is>
          <t>EDC</t>
        </is>
      </c>
      <c r="AG109" s="379" t="n"/>
      <c r="AH109" s="379" t="inlineStr">
        <is>
          <t>TVV</t>
        </is>
      </c>
    </row>
    <row r="110" hidden="1"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77">
        <f>IFERROR(LEFT(J110,FIND("縣",J110)),IFERROR(LEFT(J110,FIND("市",J110)),J110))</f>
        <v/>
      </c>
      <c r="V110" s="378">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78">
        <f>IFERROR(MID(J110,IFERROR(FIND("鄉",J110),IFERROR(FIND("鎮",J110),FIND("區",J110)))+1,LEN(J110)),IFERROR(MID(J110,FIND("市",J110)+1,LEN(J110)),MID(J110,FIND("縣",J110)+1,LEN(J110))))</f>
        <v/>
      </c>
      <c r="X110" s="3" t="inlineStr">
        <is>
          <t>新北一</t>
        </is>
      </c>
      <c r="Y110" s="3">
        <f>VLOOKUP(V110,門市狀態!G:H,2,FALSE)</f>
        <v/>
      </c>
      <c r="Z110" s="371">
        <f>IF(D110="FVC7", IF(COUNTIF(特殊門市清單!N:N, B110)=0, "FVC7", VLOOKUP(B110,特殊門市清單!N:T,7,FALSE)), IF(AA110="v","Peplink",""))</f>
        <v/>
      </c>
      <c r="AA110" s="371">
        <f>IFERROR(VLOOKUP(B110,門市狀態!A:D,4,FALSE),"")</f>
        <v/>
      </c>
      <c r="AB110" s="379">
        <f>VLOOKUP(B110,門市主檔!A:B,2,FALSE)</f>
        <v/>
      </c>
      <c r="AC110" s="380" t="n"/>
      <c r="AD110" s="379" t="n"/>
      <c r="AE110" s="379" t="n"/>
      <c r="AF110" s="379" t="inlineStr">
        <is>
          <t>EDC</t>
        </is>
      </c>
      <c r="AG110" s="379" t="n"/>
      <c r="AH110" s="379" t="inlineStr">
        <is>
          <t>TVV</t>
        </is>
      </c>
    </row>
    <row r="111" hidden="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77">
        <f>IFERROR(LEFT(J111,FIND("縣",J111)),IFERROR(LEFT(J111,FIND("市",J111)),J111))</f>
        <v/>
      </c>
      <c r="V111" s="378">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78">
        <f>IFERROR(MID(J111,IFERROR(FIND("鄉",J111),IFERROR(FIND("鎮",J111),FIND("區",J111)))+1,LEN(J111)),IFERROR(MID(J111,FIND("市",J111)+1,LEN(J111)),MID(J111,FIND("縣",J111)+1,LEN(J111))))</f>
        <v/>
      </c>
      <c r="X111" s="3" t="inlineStr">
        <is>
          <t>新北一</t>
        </is>
      </c>
      <c r="Y111" s="3">
        <f>VLOOKUP(V111,門市狀態!G:H,2,FALSE)</f>
        <v/>
      </c>
      <c r="Z111" s="371">
        <f>IF(D111="FVC7", IF(COUNTIF(特殊門市清單!N:N, B111)=0, "FVC7", VLOOKUP(B111,特殊門市清單!N:T,7,FALSE)), IF(AA111="v","Peplink",""))</f>
        <v/>
      </c>
      <c r="AA111" s="371">
        <f>IFERROR(VLOOKUP(B111,門市狀態!A:D,4,FALSE),"")</f>
        <v/>
      </c>
      <c r="AB111" s="379">
        <f>VLOOKUP(B111,門市主檔!A:B,2,FALSE)</f>
        <v/>
      </c>
      <c r="AC111" s="380" t="n"/>
      <c r="AD111" s="379" t="n"/>
      <c r="AE111" s="379" t="n"/>
      <c r="AF111" s="379" t="inlineStr">
        <is>
          <t>EDC</t>
        </is>
      </c>
      <c r="AG111" s="379" t="n"/>
      <c r="AH111" s="379" t="inlineStr">
        <is>
          <t>TVV</t>
        </is>
      </c>
    </row>
    <row r="112" hidden="1"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77">
        <f>IFERROR(LEFT(J112,FIND("縣",J112)),IFERROR(LEFT(J112,FIND("市",J112)),J112))</f>
        <v/>
      </c>
      <c r="V112" s="378">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78">
        <f>IFERROR(MID(J112,IFERROR(FIND("鄉",J112),IFERROR(FIND("鎮",J112),FIND("區",J112)))+1,LEN(J112)),IFERROR(MID(J112,FIND("市",J112)+1,LEN(J112)),MID(J112,FIND("縣",J112)+1,LEN(J112))))</f>
        <v/>
      </c>
      <c r="X112" s="3" t="inlineStr">
        <is>
          <t>新北一</t>
        </is>
      </c>
      <c r="Y112" s="3">
        <f>VLOOKUP(V112,門市狀態!G:H,2,FALSE)</f>
        <v/>
      </c>
      <c r="Z112" s="371">
        <f>IF(D112="FVC7", IF(COUNTIF(特殊門市清單!N:N, B112)=0, "FVC7", VLOOKUP(B112,特殊門市清單!N:T,7,FALSE)), IF(AA112="v","Peplink",""))</f>
        <v/>
      </c>
      <c r="AA112" s="371">
        <f>IFERROR(VLOOKUP(B112,門市狀態!A:D,4,FALSE),"")</f>
        <v/>
      </c>
      <c r="AB112" s="379">
        <f>VLOOKUP(B112,門市主檔!A:B,2,FALSE)</f>
        <v/>
      </c>
      <c r="AC112" s="380" t="n"/>
      <c r="AD112" s="379" t="n"/>
      <c r="AE112" s="379" t="n"/>
      <c r="AF112" s="379" t="inlineStr">
        <is>
          <t>EDC</t>
        </is>
      </c>
      <c r="AG112" s="379" t="n"/>
      <c r="AH112" s="379" t="n"/>
    </row>
    <row r="113" hidden="1"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77">
        <f>IFERROR(LEFT(J113,FIND("縣",J113)),IFERROR(LEFT(J113,FIND("市",J113)),J113))</f>
        <v/>
      </c>
      <c r="V113" s="378">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78">
        <f>IFERROR(MID(J113,IFERROR(FIND("鄉",J113),IFERROR(FIND("鎮",J113),FIND("區",J113)))+1,LEN(J113)),IFERROR(MID(J113,FIND("市",J113)+1,LEN(J113)),MID(J113,FIND("縣",J113)+1,LEN(J113))))</f>
        <v/>
      </c>
      <c r="X113" s="3" t="inlineStr">
        <is>
          <t>新北一</t>
        </is>
      </c>
      <c r="Y113" s="3">
        <f>VLOOKUP(V113,門市狀態!G:H,2,FALSE)</f>
        <v/>
      </c>
      <c r="Z113" s="371">
        <f>IF(D113="FVC7", IF(COUNTIF(特殊門市清單!N:N, B113)=0, "FVC7", VLOOKUP(B113,特殊門市清單!N:T,7,FALSE)), IF(AA113="v","Peplink",""))</f>
        <v/>
      </c>
      <c r="AA113" s="371">
        <f>IFERROR(VLOOKUP(B113,門市狀態!A:D,4,FALSE),"")</f>
        <v/>
      </c>
      <c r="AB113" s="379">
        <f>VLOOKUP(B113,門市主檔!A:B,2,FALSE)</f>
        <v/>
      </c>
      <c r="AC113" s="380" t="n"/>
      <c r="AD113" s="379" t="n"/>
      <c r="AE113" s="379" t="n"/>
      <c r="AF113" s="379" t="inlineStr">
        <is>
          <t>EDC</t>
        </is>
      </c>
      <c r="AG113" s="379" t="n"/>
      <c r="AH113" s="379" t="n"/>
    </row>
    <row r="114" hidden="1"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77">
        <f>IFERROR(LEFT(J114,FIND("縣",J114)),IFERROR(LEFT(J114,FIND("市",J114)),J114))</f>
        <v/>
      </c>
      <c r="V114" s="378">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78">
        <f>IFERROR(MID(J114,IFERROR(FIND("鄉",J114),IFERROR(FIND("鎮",J114),FIND("區",J114)))+1,LEN(J114)),IFERROR(MID(J114,FIND("市",J114)+1,LEN(J114)),MID(J114,FIND("縣",J114)+1,LEN(J114))))</f>
        <v/>
      </c>
      <c r="X114" s="3" t="inlineStr">
        <is>
          <t>新北一</t>
        </is>
      </c>
      <c r="Y114" s="3">
        <f>VLOOKUP(V114,門市狀態!G:H,2,FALSE)</f>
        <v/>
      </c>
      <c r="Z114" s="371">
        <f>IF(D114="FVC7", IF(COUNTIF(特殊門市清單!N:N, B114)=0, "FVC7", VLOOKUP(B114,特殊門市清單!N:T,7,FALSE)), IF(AA114="v","Peplink",""))</f>
        <v/>
      </c>
      <c r="AA114" s="371">
        <f>IFERROR(VLOOKUP(B114,門市狀態!A:D,4,FALSE),"")</f>
        <v/>
      </c>
      <c r="AB114" s="379">
        <f>VLOOKUP(B114,門市主檔!A:B,2,FALSE)</f>
        <v/>
      </c>
      <c r="AC114" s="380" t="n"/>
      <c r="AD114" s="379" t="n"/>
      <c r="AE114" s="379" t="n"/>
      <c r="AF114" s="379" t="inlineStr">
        <is>
          <t>EDC</t>
        </is>
      </c>
      <c r="AG114" s="379" t="n"/>
      <c r="AH114" s="379" t="inlineStr">
        <is>
          <t>TVV</t>
        </is>
      </c>
    </row>
    <row r="115" hidden="1"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77">
        <f>IFERROR(LEFT(J115,FIND("縣",J115)),IFERROR(LEFT(J115,FIND("市",J115)),J115))</f>
        <v/>
      </c>
      <c r="V115" s="378">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78">
        <f>IFERROR(MID(J115,IFERROR(FIND("鄉",J115),IFERROR(FIND("鎮",J115),FIND("區",J115)))+1,LEN(J115)),IFERROR(MID(J115,FIND("市",J115)+1,LEN(J115)),MID(J115,FIND("縣",J115)+1,LEN(J115))))</f>
        <v/>
      </c>
      <c r="X115" s="3" t="inlineStr">
        <is>
          <t>新北一</t>
        </is>
      </c>
      <c r="Y115" s="3">
        <f>VLOOKUP(V115,門市狀態!G:H,2,FALSE)</f>
        <v/>
      </c>
      <c r="Z115" s="371">
        <f>IF(D115="FVC7", IF(COUNTIF(特殊門市清單!N:N, B115)=0, "FVC7", VLOOKUP(B115,特殊門市清單!N:T,7,FALSE)), IF(AA115="v","Peplink",""))</f>
        <v/>
      </c>
      <c r="AA115" s="371">
        <f>IFERROR(VLOOKUP(B115,門市狀態!A:D,4,FALSE),"")</f>
        <v/>
      </c>
      <c r="AB115" s="379">
        <f>VLOOKUP(B115,門市主檔!A:B,2,FALSE)</f>
        <v/>
      </c>
      <c r="AC115" s="380" t="n"/>
      <c r="AD115" s="379" t="n"/>
      <c r="AE115" s="379" t="n"/>
      <c r="AF115" s="379" t="inlineStr">
        <is>
          <t>EDC</t>
        </is>
      </c>
      <c r="AG115" s="379" t="n"/>
      <c r="AH115" s="379" t="n"/>
    </row>
    <row r="116" hidden="1"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77">
        <f>IFERROR(LEFT(J116,FIND("縣",J116)),IFERROR(LEFT(J116,FIND("市",J116)),J116))</f>
        <v/>
      </c>
      <c r="V116" s="378">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78">
        <f>IFERROR(MID(J116,IFERROR(FIND("鄉",J116),IFERROR(FIND("鎮",J116),FIND("區",J116)))+1,LEN(J116)),IFERROR(MID(J116,FIND("市",J116)+1,LEN(J116)),MID(J116,FIND("縣",J116)+1,LEN(J116))))</f>
        <v/>
      </c>
      <c r="X116" s="3" t="inlineStr">
        <is>
          <t>新北一</t>
        </is>
      </c>
      <c r="Y116" s="3">
        <f>VLOOKUP(V116,門市狀態!G:H,2,FALSE)</f>
        <v/>
      </c>
      <c r="Z116" s="371">
        <f>IF(D116="FVC7", IF(COUNTIF(特殊門市清單!N:N, B116)=0, "FVC7", VLOOKUP(B116,特殊門市清單!N:T,7,FALSE)), IF(AA116="v","Peplink",""))</f>
        <v/>
      </c>
      <c r="AA116" s="371">
        <f>IFERROR(VLOOKUP(B116,門市狀態!A:D,4,FALSE),"")</f>
        <v/>
      </c>
      <c r="AB116" s="379">
        <f>VLOOKUP(B116,門市主檔!A:B,2,FALSE)</f>
        <v/>
      </c>
      <c r="AC116" s="380" t="n"/>
      <c r="AD116" s="379" t="n"/>
      <c r="AE116" s="379" t="n"/>
      <c r="AF116" s="379" t="inlineStr">
        <is>
          <t>EDC</t>
        </is>
      </c>
      <c r="AG116" s="379" t="n"/>
      <c r="AH116" s="379" t="n"/>
    </row>
    <row r="117" hidden="1"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77">
        <f>IFERROR(LEFT(J117,FIND("縣",J117)),IFERROR(LEFT(J117,FIND("市",J117)),J117))</f>
        <v/>
      </c>
      <c r="V117" s="378">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78">
        <f>IFERROR(MID(J117,IFERROR(FIND("鄉",J117),IFERROR(FIND("鎮",J117),FIND("區",J117)))+1,LEN(J117)),IFERROR(MID(J117,FIND("市",J117)+1,LEN(J117)),MID(J117,FIND("縣",J117)+1,LEN(J117))))</f>
        <v/>
      </c>
      <c r="X117" s="3" t="inlineStr">
        <is>
          <t>新北一</t>
        </is>
      </c>
      <c r="Y117" s="3">
        <f>VLOOKUP(V117,門市狀態!G:H,2,FALSE)</f>
        <v/>
      </c>
      <c r="Z117" s="371">
        <f>IF(D117="FVC7", IF(COUNTIF(特殊門市清單!N:N, B117)=0, "FVC7", VLOOKUP(B117,特殊門市清單!N:T,7,FALSE)), IF(AA117="v","Peplink",""))</f>
        <v/>
      </c>
      <c r="AA117" s="371">
        <f>IFERROR(VLOOKUP(B117,門市狀態!A:D,4,FALSE),"")</f>
        <v/>
      </c>
      <c r="AB117" s="379">
        <f>VLOOKUP(B117,門市主檔!A:B,2,FALSE)</f>
        <v/>
      </c>
      <c r="AC117" s="380" t="n"/>
      <c r="AD117" s="379" t="n"/>
      <c r="AE117" s="379" t="inlineStr">
        <is>
          <t>機上盒</t>
        </is>
      </c>
      <c r="AF117" s="379" t="inlineStr">
        <is>
          <t>EDC</t>
        </is>
      </c>
      <c r="AG117" s="379" t="n"/>
      <c r="AH117" s="379" t="n"/>
    </row>
    <row r="118" hidden="1"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77">
        <f>IFERROR(LEFT(J118,FIND("縣",J118)),IFERROR(LEFT(J118,FIND("市",J118)),J118))</f>
        <v/>
      </c>
      <c r="V118" s="378">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78">
        <f>IFERROR(MID(J118,IFERROR(FIND("鄉",J118),IFERROR(FIND("鎮",J118),FIND("區",J118)))+1,LEN(J118)),IFERROR(MID(J118,FIND("市",J118)+1,LEN(J118)),MID(J118,FIND("縣",J118)+1,LEN(J118))))</f>
        <v/>
      </c>
      <c r="X118" s="3" t="inlineStr">
        <is>
          <t>新北一</t>
        </is>
      </c>
      <c r="Y118" s="3">
        <f>VLOOKUP(V118,門市狀態!G:H,2,FALSE)</f>
        <v/>
      </c>
      <c r="Z118" s="371">
        <f>IF(D118="FVC7", IF(COUNTIF(特殊門市清單!N:N, B118)=0, "FVC7", VLOOKUP(B118,特殊門市清單!N:T,7,FALSE)), IF(AA118="v","Peplink",""))</f>
        <v/>
      </c>
      <c r="AA118" s="371">
        <f>IFERROR(VLOOKUP(B118,門市狀態!A:D,4,FALSE),"")</f>
        <v/>
      </c>
      <c r="AB118" s="379">
        <f>VLOOKUP(B118,門市主檔!A:B,2,FALSE)</f>
        <v/>
      </c>
      <c r="AC118" s="380" t="n"/>
      <c r="AD118" s="379" t="n"/>
      <c r="AE118" s="379" t="inlineStr">
        <is>
          <t>機上盒</t>
        </is>
      </c>
      <c r="AF118" s="379" t="inlineStr">
        <is>
          <t>EDC</t>
        </is>
      </c>
      <c r="AG118" s="379" t="n"/>
      <c r="AH118" s="379" t="n"/>
    </row>
    <row r="119" hidden="1"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77">
        <f>IFERROR(LEFT(J119,FIND("縣",J119)),IFERROR(LEFT(J119,FIND("市",J119)),J119))</f>
        <v/>
      </c>
      <c r="V119" s="378">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78">
        <f>IFERROR(MID(J119,IFERROR(FIND("鄉",J119),IFERROR(FIND("鎮",J119),FIND("區",J119)))+1,LEN(J119)),IFERROR(MID(J119,FIND("市",J119)+1,LEN(J119)),MID(J119,FIND("縣",J119)+1,LEN(J119))))</f>
        <v/>
      </c>
      <c r="X119" s="3" t="inlineStr">
        <is>
          <t>新北一</t>
        </is>
      </c>
      <c r="Y119" s="3">
        <f>VLOOKUP(V119,門市狀態!G:H,2,FALSE)</f>
        <v/>
      </c>
      <c r="Z119" s="371">
        <f>IF(D119="FVC7", IF(COUNTIF(特殊門市清單!N:N, B119)=0, "FVC7", VLOOKUP(B119,特殊門市清單!N:T,7,FALSE)), IF(AA119="v","Peplink",""))</f>
        <v/>
      </c>
      <c r="AA119" s="371">
        <f>IFERROR(VLOOKUP(B119,門市狀態!A:D,4,FALSE),"")</f>
        <v/>
      </c>
      <c r="AB119" s="379">
        <f>VLOOKUP(B119,門市主檔!A:B,2,FALSE)</f>
        <v/>
      </c>
      <c r="AC119" s="380" t="n"/>
      <c r="AD119" s="379" t="n"/>
      <c r="AE119" s="379" t="inlineStr">
        <is>
          <t>機上盒</t>
        </is>
      </c>
      <c r="AF119" s="379" t="inlineStr">
        <is>
          <t>EDC</t>
        </is>
      </c>
      <c r="AG119" s="379" t="n"/>
      <c r="AH119" s="379" t="n"/>
    </row>
    <row r="120" hidden="1" ht="21.6" customHeight="1" s="105">
      <c r="A120" s="3" t="n">
        <v>119</v>
      </c>
      <c r="B120" s="3" t="inlineStr">
        <is>
          <t>TT01</t>
        </is>
      </c>
      <c r="C120" s="5" t="inlineStr">
        <is>
          <t>五股訓練教室</t>
        </is>
      </c>
      <c r="J120" s="6" t="inlineStr">
        <is>
          <t>新北市五股區五工六路28號</t>
        </is>
      </c>
      <c r="U120" s="377">
        <f>IFERROR(LEFT(J120,FIND("縣",J120)),IFERROR(LEFT(J120,FIND("市",J120)),J120))</f>
        <v/>
      </c>
      <c r="V120" s="378">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78">
        <f>IFERROR(MID(J120,IFERROR(FIND("鄉",J120),IFERROR(FIND("鎮",J120),FIND("區",J120)))+1,LEN(J120)),IFERROR(MID(J120,FIND("市",J120)+1,LEN(J120)),MID(J120,FIND("縣",J120)+1,LEN(J120))))</f>
        <v/>
      </c>
      <c r="X120" s="3" t="inlineStr">
        <is>
          <t>新北一</t>
        </is>
      </c>
      <c r="Y120" s="3">
        <f>VLOOKUP(V120,門市狀態!G:H,2,FALSE)</f>
        <v/>
      </c>
      <c r="Z120" s="371">
        <f>IF(D120="FVC7", IF(COUNTIF(特殊門市清單!N:N, B120)=0, "FVC7", VLOOKUP(B120,特殊門市清單!N:T,7,FALSE)), IF(AA120="v","Peplink",""))</f>
        <v/>
      </c>
      <c r="AA120" s="371">
        <f>IFERROR(VLOOKUP(B120,門市狀態!A:D,4,FALSE),"")</f>
        <v/>
      </c>
      <c r="AB120" s="379">
        <f>VLOOKUP(B120,門市主檔!A:B,2,FALSE)</f>
        <v/>
      </c>
      <c r="AC120" s="380" t="n"/>
      <c r="AD120" s="379" t="n"/>
      <c r="AE120" s="379" t="n"/>
      <c r="AF120" s="379" t="n"/>
      <c r="AG120" s="379" t="n"/>
      <c r="AH120" s="379" t="n"/>
    </row>
    <row r="121" hidden="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77">
        <f>IFERROR(LEFT(J121,FIND("縣",J121)),IFERROR(LEFT(J121,FIND("市",J121)),J121))</f>
        <v/>
      </c>
      <c r="V121" s="378">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78">
        <f>IFERROR(MID(J121,IFERROR(FIND("鄉",J121),IFERROR(FIND("鎮",J121),FIND("區",J121)))+1,LEN(J121)),IFERROR(MID(J121,FIND("市",J121)+1,LEN(J121)),MID(J121,FIND("縣",J121)+1,LEN(J121))))</f>
        <v/>
      </c>
      <c r="X121" s="3" t="inlineStr">
        <is>
          <t>新北一</t>
        </is>
      </c>
      <c r="Y121" s="3">
        <f>VLOOKUP(V121,門市狀態!G:H,2,FALSE)</f>
        <v/>
      </c>
      <c r="Z121" s="371">
        <f>IF(D121="FVC7", IF(COUNTIF(特殊門市清單!N:N, B121)=0, "FVC7", VLOOKUP(B121,特殊門市清單!N:T,7,FALSE)), IF(AA121="v","Peplink",""))</f>
        <v/>
      </c>
      <c r="AA121" s="371">
        <f>IFERROR(VLOOKUP(B121,門市狀態!A:D,4,FALSE),"")</f>
        <v/>
      </c>
      <c r="AB121" s="379">
        <f>VLOOKUP(B121,門市主檔!A:B,2,FALSE)</f>
        <v/>
      </c>
      <c r="AC121" s="380" t="n"/>
      <c r="AD121" s="379" t="n"/>
      <c r="AE121" s="379" t="inlineStr">
        <is>
          <t>機上盒</t>
        </is>
      </c>
      <c r="AF121" s="379" t="inlineStr">
        <is>
          <t>EDC</t>
        </is>
      </c>
      <c r="AG121" s="379" t="n"/>
      <c r="AH121" s="379" t="n"/>
    </row>
    <row r="122" hidden="1"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77">
        <f>IFERROR(LEFT(J122,FIND("縣",J122)),IFERROR(LEFT(J122,FIND("市",J122)),J122))</f>
        <v/>
      </c>
      <c r="V122" s="378">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78">
        <f>IFERROR(MID(J122,IFERROR(FIND("鄉",J122),IFERROR(FIND("鎮",J122),FIND("區",J122)))+1,LEN(J122)),IFERROR(MID(J122,FIND("市",J122)+1,LEN(J122)),MID(J122,FIND("縣",J122)+1,LEN(J122))))</f>
        <v/>
      </c>
      <c r="X122" s="3" t="inlineStr">
        <is>
          <t>新北一</t>
        </is>
      </c>
      <c r="Y122" s="3">
        <f>VLOOKUP(V122,門市狀態!G:H,2,FALSE)</f>
        <v/>
      </c>
      <c r="Z122" s="371">
        <f>IF(D122="FVC7", IF(COUNTIF(特殊門市清單!N:N, B122)=0, "FVC7", VLOOKUP(B122,特殊門市清單!N:T,7,FALSE)), IF(AA122="v","Peplink",""))</f>
        <v/>
      </c>
      <c r="AA122" s="371">
        <f>IFERROR(VLOOKUP(B122,門市狀態!A:D,4,FALSE),"")</f>
        <v/>
      </c>
      <c r="AB122" s="379">
        <f>VLOOKUP(B122,門市主檔!A:B,2,FALSE)</f>
        <v/>
      </c>
      <c r="AC122" s="380" t="n"/>
      <c r="AD122" s="379" t="n"/>
      <c r="AE122" s="379" t="n"/>
      <c r="AF122" s="379" t="inlineStr">
        <is>
          <t>EDC</t>
        </is>
      </c>
      <c r="AG122" s="379" t="n"/>
      <c r="AH122" s="379" t="n"/>
    </row>
    <row r="123" hidden="1"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77">
        <f>IFERROR(LEFT(J123,FIND("縣",J123)),IFERROR(LEFT(J123,FIND("市",J123)),J123))</f>
        <v/>
      </c>
      <c r="V123" s="378">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78">
        <f>IFERROR(MID(J123,IFERROR(FIND("鄉",J123),IFERROR(FIND("鎮",J123),FIND("區",J123)))+1,LEN(J123)),IFERROR(MID(J123,FIND("市",J123)+1,LEN(J123)),MID(J123,FIND("縣",J123)+1,LEN(J123))))</f>
        <v/>
      </c>
      <c r="X123" s="3" t="inlineStr">
        <is>
          <t>新北一</t>
        </is>
      </c>
      <c r="Y123" s="3">
        <f>VLOOKUP(V123,門市狀態!G:H,2,FALSE)</f>
        <v/>
      </c>
      <c r="Z123" s="371">
        <f>IF(D123="FVC7", IF(COUNTIF(特殊門市清單!N:N, B123)=0, "FVC7", VLOOKUP(B123,特殊門市清單!N:T,7,FALSE)), IF(AA123="v","Peplink",""))</f>
        <v/>
      </c>
      <c r="AA123" s="371">
        <f>IFERROR(VLOOKUP(B123,門市狀態!A:D,4,FALSE),"")</f>
        <v/>
      </c>
      <c r="AB123" s="379">
        <f>VLOOKUP(B123,門市主檔!A:B,2,FALSE)</f>
        <v/>
      </c>
      <c r="AC123" s="380" t="n"/>
      <c r="AD123" s="379" t="n"/>
      <c r="AE123" s="379" t="inlineStr">
        <is>
          <t>機上盒</t>
        </is>
      </c>
      <c r="AF123" s="379" t="inlineStr">
        <is>
          <t>EDC</t>
        </is>
      </c>
      <c r="AG123" s="379" t="n"/>
      <c r="AH123" s="379" t="n"/>
    </row>
    <row r="124" hidden="1"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77">
        <f>IFERROR(LEFT(J124,FIND("縣",J124)),IFERROR(LEFT(J124,FIND("市",J124)),J124))</f>
        <v/>
      </c>
      <c r="V124" s="378">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78">
        <f>IFERROR(MID(J124,IFERROR(FIND("鄉",J124),IFERROR(FIND("鎮",J124),FIND("區",J124)))+1,LEN(J124)),IFERROR(MID(J124,FIND("市",J124)+1,LEN(J124)),MID(J124,FIND("縣",J124)+1,LEN(J124))))</f>
        <v/>
      </c>
      <c r="X124" s="3" t="inlineStr">
        <is>
          <t>新北一</t>
        </is>
      </c>
      <c r="Y124" s="3">
        <f>VLOOKUP(V124,門市狀態!G:H,2,FALSE)</f>
        <v/>
      </c>
      <c r="Z124" s="371" t="inlineStr">
        <is>
          <t>學校</t>
        </is>
      </c>
      <c r="AA124" s="371">
        <f>IFERROR(VLOOKUP(B124,門市狀態!A:D,4,FALSE),"")</f>
        <v/>
      </c>
      <c r="AB124" s="379">
        <f>VLOOKUP(B124,門市主檔!A:B,2,FALSE)</f>
        <v/>
      </c>
      <c r="AC124" s="380" t="n"/>
      <c r="AD124" s="379" t="inlineStr">
        <is>
          <t>學校</t>
        </is>
      </c>
      <c r="AE124" s="379" t="n"/>
      <c r="AF124" s="379" t="inlineStr">
        <is>
          <t>EDC</t>
        </is>
      </c>
      <c r="AG124" s="379" t="inlineStr">
        <is>
          <t>PEP</t>
        </is>
      </c>
      <c r="AH124" s="379" t="n"/>
      <c r="AI124" s="376" t="inlineStr">
        <is>
          <t>校區待確認</t>
        </is>
      </c>
    </row>
    <row r="125" hidden="1"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77">
        <f>IFERROR(LEFT(J125,FIND("縣",J125)),IFERROR(LEFT(J125,FIND("市",J125)),J125))</f>
        <v/>
      </c>
      <c r="V125" s="378">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78">
        <f>IFERROR(MID(J125,IFERROR(FIND("鄉",J125),IFERROR(FIND("鎮",J125),FIND("區",J125)))+1,LEN(J125)),IFERROR(MID(J125,FIND("市",J125)+1,LEN(J125)),MID(J125,FIND("縣",J125)+1,LEN(J125))))</f>
        <v/>
      </c>
      <c r="X125" s="3" t="inlineStr">
        <is>
          <t>新北一</t>
        </is>
      </c>
      <c r="Y125" s="3">
        <f>VLOOKUP(V125,門市狀態!G:H,2,FALSE)</f>
        <v/>
      </c>
      <c r="Z125" s="371">
        <f>IF(D125="FVC7", IF(COUNTIF(特殊門市清單!N:N, B125)=0, "FVC7", VLOOKUP(B125,特殊門市清單!N:T,7,FALSE)), IF(AA125="v","Peplink",""))</f>
        <v/>
      </c>
      <c r="AA125" s="371">
        <f>IFERROR(VLOOKUP(B125,門市狀態!A:D,4,FALSE),"")</f>
        <v/>
      </c>
      <c r="AB125" s="379">
        <f>VLOOKUP(B125,門市主檔!A:B,2,FALSE)</f>
        <v/>
      </c>
      <c r="AC125" s="380" t="n"/>
      <c r="AD125" s="379" t="n"/>
      <c r="AE125" s="379" t="inlineStr">
        <is>
          <t>機上盒</t>
        </is>
      </c>
      <c r="AF125" s="379" t="inlineStr">
        <is>
          <t>EDC</t>
        </is>
      </c>
      <c r="AG125" s="379" t="n"/>
      <c r="AH125" s="379" t="n"/>
    </row>
    <row r="126" hidden="1"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77">
        <f>IFERROR(LEFT(J126,FIND("縣",J126)),IFERROR(LEFT(J126,FIND("市",J126)),J126))</f>
        <v/>
      </c>
      <c r="V126" s="378">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78">
        <f>IFERROR(MID(J126,IFERROR(FIND("鄉",J126),IFERROR(FIND("鎮",J126),FIND("區",J126)))+1,LEN(J126)),IFERROR(MID(J126,FIND("市",J126)+1,LEN(J126)),MID(J126,FIND("縣",J126)+1,LEN(J126))))</f>
        <v/>
      </c>
      <c r="X126" s="3" t="inlineStr">
        <is>
          <t>新北一</t>
        </is>
      </c>
      <c r="Y126" s="3">
        <f>VLOOKUP(V126,門市狀態!G:H,2,FALSE)</f>
        <v/>
      </c>
      <c r="Z126" s="371">
        <f>IF(D126="FVC7", IF(COUNTIF(特殊門市清單!N:N, B126)=0, "FVC7", VLOOKUP(B126,特殊門市清單!N:T,7,FALSE)), IF(AA126="v","Peplink",""))</f>
        <v/>
      </c>
      <c r="AA126" s="371">
        <f>IFERROR(VLOOKUP(B126,門市狀態!A:D,4,FALSE),"")</f>
        <v/>
      </c>
      <c r="AB126" s="379">
        <f>VLOOKUP(B126,門市主檔!A:B,2,FALSE)</f>
        <v/>
      </c>
      <c r="AC126" s="380" t="n"/>
      <c r="AD126" s="379" t="n"/>
      <c r="AE126" s="379" t="n"/>
      <c r="AF126" s="379" t="inlineStr">
        <is>
          <t>EDC</t>
        </is>
      </c>
      <c r="AG126" s="379" t="n"/>
      <c r="AH126" s="379" t="n"/>
    </row>
    <row r="127" hidden="1"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77">
        <f>IFERROR(LEFT(J127,FIND("縣",J127)),IFERROR(LEFT(J127,FIND("市",J127)),J127))</f>
        <v/>
      </c>
      <c r="V127" s="378">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78">
        <f>IFERROR(MID(J127,IFERROR(FIND("鄉",J127),IFERROR(FIND("鎮",J127),FIND("區",J127)))+1,LEN(J127)),IFERROR(MID(J127,FIND("市",J127)+1,LEN(J127)),MID(J127,FIND("縣",J127)+1,LEN(J127))))</f>
        <v/>
      </c>
      <c r="X127" s="3" t="inlineStr">
        <is>
          <t>新北一</t>
        </is>
      </c>
      <c r="Y127" s="3">
        <f>VLOOKUP(V127,門市狀態!G:H,2,FALSE)</f>
        <v/>
      </c>
      <c r="Z127" s="371">
        <f>IF(D127="FVC7", IF(COUNTIF(特殊門市清單!N:N, B127)=0, "FVC7", VLOOKUP(B127,特殊門市清單!N:T,7,FALSE)), IF(AA127="v","Peplink",""))</f>
        <v/>
      </c>
      <c r="AA127" s="371">
        <f>IFERROR(VLOOKUP(B127,門市狀態!A:D,4,FALSE),"")</f>
        <v/>
      </c>
      <c r="AB127" s="379">
        <f>VLOOKUP(B127,門市主檔!A:B,2,FALSE)</f>
        <v/>
      </c>
      <c r="AC127" s="380" t="n"/>
      <c r="AD127" s="379" t="n"/>
      <c r="AE127" s="379" t="n"/>
      <c r="AF127" s="379" t="inlineStr">
        <is>
          <t>EDC</t>
        </is>
      </c>
      <c r="AG127" s="379" t="n"/>
      <c r="AH127" s="379" t="n"/>
    </row>
    <row r="128" hidden="1"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77">
        <f>IFERROR(LEFT(J128,FIND("縣",J128)),IFERROR(LEFT(J128,FIND("市",J128)),J128))</f>
        <v/>
      </c>
      <c r="V128" s="378">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78">
        <f>IFERROR(MID(J128,IFERROR(FIND("鄉",J128),IFERROR(FIND("鎮",J128),FIND("區",J128)))+1,LEN(J128)),IFERROR(MID(J128,FIND("市",J128)+1,LEN(J128)),MID(J128,FIND("縣",J128)+1,LEN(J128))))</f>
        <v/>
      </c>
      <c r="X128" s="3" t="inlineStr">
        <is>
          <t>新北一</t>
        </is>
      </c>
      <c r="Y128" s="3">
        <f>VLOOKUP(V128,門市狀態!G:H,2,FALSE)</f>
        <v/>
      </c>
      <c r="Z128" s="371">
        <f>IF(D128="FVC7", IF(COUNTIF(特殊門市清單!N:N, B128)=0, "FVC7", VLOOKUP(B128,特殊門市清單!N:T,7,FALSE)), IF(AA128="v","Peplink",""))</f>
        <v/>
      </c>
      <c r="AA128" s="371">
        <f>IFERROR(VLOOKUP(B128,門市狀態!A:D,4,FALSE),"")</f>
        <v/>
      </c>
      <c r="AB128" s="379">
        <f>VLOOKUP(B128,門市主檔!A:B,2,FALSE)</f>
        <v/>
      </c>
      <c r="AC128" s="380" t="n"/>
      <c r="AD128" s="379" t="n"/>
      <c r="AE128" s="379" t="n"/>
      <c r="AF128" s="379" t="inlineStr">
        <is>
          <t>EDC</t>
        </is>
      </c>
      <c r="AG128" s="379" t="n"/>
      <c r="AH128" s="379" t="n"/>
    </row>
    <row r="129" hidden="1"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77">
        <f>IFERROR(LEFT(J129,FIND("縣",J129)),IFERROR(LEFT(J129,FIND("市",J129)),J129))</f>
        <v/>
      </c>
      <c r="V129" s="378">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78">
        <f>IFERROR(MID(J129,IFERROR(FIND("鄉",J129),IFERROR(FIND("鎮",J129),FIND("區",J129)))+1,LEN(J129)),IFERROR(MID(J129,FIND("市",J129)+1,LEN(J129)),MID(J129,FIND("縣",J129)+1,LEN(J129))))</f>
        <v/>
      </c>
      <c r="X129" s="3" t="inlineStr">
        <is>
          <t>新北一</t>
        </is>
      </c>
      <c r="Y129" s="3">
        <f>VLOOKUP(V129,門市狀態!G:H,2,FALSE)</f>
        <v/>
      </c>
      <c r="Z129" s="371">
        <f>IF(D129="FVC7", IF(COUNTIF(特殊門市清單!N:N, B129)=0, "FVC7", VLOOKUP(B129,特殊門市清單!N:T,7,FALSE)), IF(AA129="v","Peplink",""))</f>
        <v/>
      </c>
      <c r="AA129" s="371">
        <f>IFERROR(VLOOKUP(B129,門市狀態!A:D,4,FALSE),"")</f>
        <v/>
      </c>
      <c r="AB129" s="379">
        <f>VLOOKUP(B129,門市主檔!A:B,2,FALSE)</f>
        <v/>
      </c>
      <c r="AC129" s="380" t="n"/>
      <c r="AD129" s="379" t="n"/>
      <c r="AE129" s="379" t="inlineStr">
        <is>
          <t>機上盒</t>
        </is>
      </c>
      <c r="AF129" s="379" t="inlineStr">
        <is>
          <t>EDC</t>
        </is>
      </c>
      <c r="AG129" s="379" t="n"/>
      <c r="AH129" s="379" t="n"/>
    </row>
    <row r="130" hidden="1"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77">
        <f>IFERROR(LEFT(J130,FIND("縣",J130)),IFERROR(LEFT(J130,FIND("市",J130)),J130))</f>
        <v/>
      </c>
      <c r="V130" s="378">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78">
        <f>IFERROR(MID(J130,IFERROR(FIND("鄉",J130),IFERROR(FIND("鎮",J130),FIND("區",J130)))+1,LEN(J130)),IFERROR(MID(J130,FIND("市",J130)+1,LEN(J130)),MID(J130,FIND("縣",J130)+1,LEN(J130))))</f>
        <v/>
      </c>
      <c r="X130" s="3" t="inlineStr">
        <is>
          <t>新北一</t>
        </is>
      </c>
      <c r="Y130" s="3">
        <f>VLOOKUP(V130,門市狀態!G:H,2,FALSE)</f>
        <v/>
      </c>
      <c r="Z130" s="371">
        <f>IF(D130="FVC7", IF(COUNTIF(特殊門市清單!N:N, B130)=0, "FVC7", VLOOKUP(B130,特殊門市清單!N:T,7,FALSE)), IF(AA130="v","Peplink",""))</f>
        <v/>
      </c>
      <c r="AA130" s="371">
        <f>IFERROR(VLOOKUP(B130,門市狀態!A:D,4,FALSE),"")</f>
        <v/>
      </c>
      <c r="AB130" s="379">
        <f>VLOOKUP(B130,門市主檔!A:B,2,FALSE)</f>
        <v/>
      </c>
      <c r="AC130" s="380" t="n"/>
      <c r="AD130" s="379" t="n"/>
      <c r="AE130" s="379" t="n"/>
      <c r="AF130" s="379" t="inlineStr">
        <is>
          <t>EDC</t>
        </is>
      </c>
      <c r="AG130" s="379" t="n"/>
      <c r="AH130" s="379" t="n"/>
    </row>
    <row r="131" hidden="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77">
        <f>IFERROR(LEFT(J131,FIND("縣",J131)),IFERROR(LEFT(J131,FIND("市",J131)),J131))</f>
        <v/>
      </c>
      <c r="V131" s="378">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78">
        <f>IFERROR(MID(J131,IFERROR(FIND("鄉",J131),IFERROR(FIND("鎮",J131),FIND("區",J131)))+1,LEN(J131)),IFERROR(MID(J131,FIND("市",J131)+1,LEN(J131)),MID(J131,FIND("縣",J131)+1,LEN(J131))))</f>
        <v/>
      </c>
      <c r="X131" s="3" t="inlineStr">
        <is>
          <t>新北一</t>
        </is>
      </c>
      <c r="Y131" s="3">
        <f>VLOOKUP(V131,門市狀態!G:H,2,FALSE)</f>
        <v/>
      </c>
      <c r="Z131" s="371">
        <f>IF(D131="FVC7", IF(COUNTIF(特殊門市清單!N:N, B131)=0, "FVC7", VLOOKUP(B131,特殊門市清單!N:T,7,FALSE)), IF(AA131="v","Peplink",""))</f>
        <v/>
      </c>
      <c r="AA131" s="371">
        <f>IFERROR(VLOOKUP(B131,門市狀態!A:D,4,FALSE),"")</f>
        <v/>
      </c>
      <c r="AB131" s="379">
        <f>VLOOKUP(B131,門市主檔!A:B,2,FALSE)</f>
        <v/>
      </c>
      <c r="AC131" s="380" t="n"/>
      <c r="AD131" s="379" t="n"/>
      <c r="AE131" s="379" t="inlineStr">
        <is>
          <t>機上盒</t>
        </is>
      </c>
      <c r="AF131" s="379" t="inlineStr">
        <is>
          <t>EDC</t>
        </is>
      </c>
      <c r="AG131" s="379" t="n"/>
      <c r="AH131" s="379" t="n"/>
    </row>
    <row r="132" hidden="1"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77">
        <f>IFERROR(LEFT(J132,FIND("縣",J132)),IFERROR(LEFT(J132,FIND("市",J132)),J132))</f>
        <v/>
      </c>
      <c r="V132" s="378">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78">
        <f>IFERROR(MID(J132,IFERROR(FIND("鄉",J132),IFERROR(FIND("鎮",J132),FIND("區",J132)))+1,LEN(J132)),IFERROR(MID(J132,FIND("市",J132)+1,LEN(J132)),MID(J132,FIND("縣",J132)+1,LEN(J132))))</f>
        <v/>
      </c>
      <c r="X132" s="3" t="inlineStr">
        <is>
          <t>新北一</t>
        </is>
      </c>
      <c r="Y132" s="3">
        <f>VLOOKUP(V132,門市狀態!G:H,2,FALSE)</f>
        <v/>
      </c>
      <c r="Z132" s="371">
        <f>IF(D132="FVC7", IF(COUNTIF(特殊門市清單!N:N, B132)=0, "FVC7", VLOOKUP(B132,特殊門市清單!N:T,7,FALSE)), IF(AA132="v","Peplink",""))</f>
        <v/>
      </c>
      <c r="AA132" s="371">
        <f>IFERROR(VLOOKUP(B132,門市狀態!A:D,4,FALSE),"")</f>
        <v/>
      </c>
      <c r="AB132" s="379">
        <f>VLOOKUP(B132,門市主檔!A:B,2,FALSE)</f>
        <v/>
      </c>
      <c r="AC132" s="380" t="n"/>
      <c r="AD132" s="379" t="n"/>
      <c r="AE132" s="379" t="n"/>
      <c r="AF132" s="379" t="inlineStr">
        <is>
          <t>EDC</t>
        </is>
      </c>
      <c r="AG132" s="379" t="n"/>
      <c r="AH132" s="379" t="n"/>
    </row>
    <row r="133" hidden="1"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77">
        <f>IFERROR(LEFT(J133,FIND("縣",J133)),IFERROR(LEFT(J133,FIND("市",J133)),J133))</f>
        <v/>
      </c>
      <c r="V133" s="378">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78">
        <f>IFERROR(MID(J133,IFERROR(FIND("鄉",J133),IFERROR(FIND("鎮",J133),FIND("區",J133)))+1,LEN(J133)),IFERROR(MID(J133,FIND("市",J133)+1,LEN(J133)),MID(J133,FIND("縣",J133)+1,LEN(J133))))</f>
        <v/>
      </c>
      <c r="X133" s="3" t="inlineStr">
        <is>
          <t>新北一</t>
        </is>
      </c>
      <c r="Y133" s="3">
        <f>VLOOKUP(V133,門市狀態!G:H,2,FALSE)</f>
        <v/>
      </c>
      <c r="Z133" s="371">
        <f>IF(D133="FVC7", IF(COUNTIF(特殊門市清單!N:N, B133)=0, "FVC7", VLOOKUP(B133,特殊門市清單!N:T,7,FALSE)), IF(AA133="v","Peplink",""))</f>
        <v/>
      </c>
      <c r="AA133" s="371">
        <f>IFERROR(VLOOKUP(B133,門市狀態!A:D,4,FALSE),"")</f>
        <v/>
      </c>
      <c r="AB133" s="379">
        <f>VLOOKUP(B133,門市主檔!A:B,2,FALSE)</f>
        <v/>
      </c>
      <c r="AC133" s="380" t="n"/>
      <c r="AD133" s="379" t="n"/>
      <c r="AE133" s="379" t="n"/>
      <c r="AF133" s="379" t="inlineStr">
        <is>
          <t>EDC</t>
        </is>
      </c>
      <c r="AG133" s="379" t="n"/>
      <c r="AH133" s="379" t="n"/>
    </row>
    <row r="134" hidden="1"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77">
        <f>IFERROR(LEFT(J134,FIND("縣",J134)),IFERROR(LEFT(J134,FIND("市",J134)),J134))</f>
        <v/>
      </c>
      <c r="V134" s="378">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78">
        <f>IFERROR(MID(J134,IFERROR(FIND("鄉",J134),IFERROR(FIND("鎮",J134),FIND("區",J134)))+1,LEN(J134)),IFERROR(MID(J134,FIND("市",J134)+1,LEN(J134)),MID(J134,FIND("縣",J134)+1,LEN(J134))))</f>
        <v/>
      </c>
      <c r="X134" s="3" t="inlineStr">
        <is>
          <t>新北一</t>
        </is>
      </c>
      <c r="Y134" s="3">
        <f>VLOOKUP(V134,門市狀態!G:H,2,FALSE)</f>
        <v/>
      </c>
      <c r="Z134" s="371">
        <f>IF(D134="FVC7", IF(COUNTIF(特殊門市清單!N:N, B134)=0, "FVC7", VLOOKUP(B134,特殊門市清單!N:T,7,FALSE)), IF(AA134="v","Peplink",""))</f>
        <v/>
      </c>
      <c r="AA134" s="371">
        <f>IFERROR(VLOOKUP(B134,門市狀態!A:D,4,FALSE),"")</f>
        <v/>
      </c>
      <c r="AB134" s="379">
        <f>VLOOKUP(B134,門市主檔!A:B,2,FALSE)</f>
        <v/>
      </c>
      <c r="AC134" s="380" t="n"/>
      <c r="AD134" s="379" t="n"/>
      <c r="AE134" s="379" t="inlineStr">
        <is>
          <t>機上盒</t>
        </is>
      </c>
      <c r="AF134" s="379" t="inlineStr">
        <is>
          <t>EDC</t>
        </is>
      </c>
      <c r="AG134" s="379" t="n"/>
      <c r="AH134" s="379" t="n"/>
    </row>
    <row r="135" hidden="1"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77">
        <f>IFERROR(LEFT(J135,FIND("縣",J135)),IFERROR(LEFT(J135,FIND("市",J135)),J135))</f>
        <v/>
      </c>
      <c r="V135" s="378">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78">
        <f>IFERROR(MID(J135,IFERROR(FIND("鄉",J135),IFERROR(FIND("鎮",J135),FIND("區",J135)))+1,LEN(J135)),IFERROR(MID(J135,FIND("市",J135)+1,LEN(J135)),MID(J135,FIND("縣",J135)+1,LEN(J135))))</f>
        <v/>
      </c>
      <c r="X135" s="3" t="inlineStr">
        <is>
          <t>新北一</t>
        </is>
      </c>
      <c r="Y135" s="3">
        <f>VLOOKUP(V135,門市狀態!G:H,2,FALSE)</f>
        <v/>
      </c>
      <c r="Z135" s="371">
        <f>IF(D135="FVC7", IF(COUNTIF(特殊門市清單!N:N, B135)=0, "FVC7", VLOOKUP(B135,特殊門市清單!N:T,7,FALSE)), IF(AA135="v","Peplink",""))</f>
        <v/>
      </c>
      <c r="AA135" s="371">
        <f>IFERROR(VLOOKUP(B135,門市狀態!A:D,4,FALSE),"")</f>
        <v/>
      </c>
      <c r="AB135" s="379">
        <f>VLOOKUP(B135,門市主檔!A:B,2,FALSE)</f>
        <v/>
      </c>
      <c r="AC135" s="380" t="n"/>
      <c r="AD135" s="379" t="n"/>
      <c r="AE135" s="379" t="n"/>
      <c r="AF135" s="379" t="inlineStr">
        <is>
          <t>EDC</t>
        </is>
      </c>
      <c r="AG135" s="379" t="n"/>
      <c r="AH135" s="379" t="n"/>
    </row>
    <row r="136" hidden="1"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77">
        <f>IFERROR(LEFT(J136,FIND("縣",J136)),IFERROR(LEFT(J136,FIND("市",J136)),J136))</f>
        <v/>
      </c>
      <c r="V136" s="378">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78">
        <f>IFERROR(MID(J136,IFERROR(FIND("鄉",J136),IFERROR(FIND("鎮",J136),FIND("區",J136)))+1,LEN(J136)),IFERROR(MID(J136,FIND("市",J136)+1,LEN(J136)),MID(J136,FIND("縣",J136)+1,LEN(J136))))</f>
        <v/>
      </c>
      <c r="X136" s="3" t="inlineStr">
        <is>
          <t>新北一</t>
        </is>
      </c>
      <c r="Y136" s="3">
        <f>VLOOKUP(V136,門市狀態!G:H,2,FALSE)</f>
        <v/>
      </c>
      <c r="Z136" s="371">
        <f>IF(D136="FVC7", IF(COUNTIF(特殊門市清單!N:N, B136)=0, "FVC7", VLOOKUP(B136,特殊門市清單!N:T,7,FALSE)), IF(AA136="v","Peplink",""))</f>
        <v/>
      </c>
      <c r="AA136" s="371">
        <f>IFERROR(VLOOKUP(B136,門市狀態!A:D,4,FALSE),"")</f>
        <v/>
      </c>
      <c r="AB136" s="379">
        <f>VLOOKUP(B136,門市主檔!A:B,2,FALSE)</f>
        <v/>
      </c>
      <c r="AC136" s="380" t="n"/>
      <c r="AD136" s="379" t="n"/>
      <c r="AE136" s="379" t="n"/>
      <c r="AF136" s="379" t="inlineStr">
        <is>
          <t>EDC</t>
        </is>
      </c>
      <c r="AG136" s="379" t="n"/>
      <c r="AH136" s="379" t="inlineStr">
        <is>
          <t>TVV</t>
        </is>
      </c>
    </row>
    <row r="137" hidden="1"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77">
        <f>IFERROR(LEFT(J137,FIND("縣",J137)),IFERROR(LEFT(J137,FIND("市",J137)),J137))</f>
        <v/>
      </c>
      <c r="V137" s="378">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78">
        <f>IFERROR(MID(J137,IFERROR(FIND("鄉",J137),IFERROR(FIND("鎮",J137),FIND("區",J137)))+1,LEN(J137)),IFERROR(MID(J137,FIND("市",J137)+1,LEN(J137)),MID(J137,FIND("縣",J137)+1,LEN(J137))))</f>
        <v/>
      </c>
      <c r="X137" s="3" t="inlineStr">
        <is>
          <t>新北一</t>
        </is>
      </c>
      <c r="Y137" s="3">
        <f>VLOOKUP(V137,門市狀態!G:H,2,FALSE)</f>
        <v/>
      </c>
      <c r="Z137" s="371">
        <f>IF(D137="FVC7", IF(COUNTIF(特殊門市清單!N:N, B137)=0, "FVC7", VLOOKUP(B137,特殊門市清單!N:T,7,FALSE)), IF(AA137="v","Peplink",""))</f>
        <v/>
      </c>
      <c r="AA137" s="371">
        <f>IFERROR(VLOOKUP(B137,門市狀態!A:D,4,FALSE),"")</f>
        <v/>
      </c>
      <c r="AB137" s="379">
        <f>VLOOKUP(B137,門市主檔!A:B,2,FALSE)</f>
        <v/>
      </c>
      <c r="AC137" s="380" t="n"/>
      <c r="AD137" s="379" t="n"/>
      <c r="AE137" s="379" t="n"/>
      <c r="AF137" s="379" t="inlineStr">
        <is>
          <t>EDC</t>
        </is>
      </c>
      <c r="AG137" s="379" t="n"/>
      <c r="AH137" s="379" t="n"/>
    </row>
    <row r="138" hidden="1"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77">
        <f>IFERROR(LEFT(J138,FIND("縣",J138)),IFERROR(LEFT(J138,FIND("市",J138)),J138))</f>
        <v/>
      </c>
      <c r="V138" s="378">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78">
        <f>IFERROR(MID(J138,IFERROR(FIND("鄉",J138),IFERROR(FIND("鎮",J138),FIND("區",J138)))+1,LEN(J138)),IFERROR(MID(J138,FIND("市",J138)+1,LEN(J138)),MID(J138,FIND("縣",J138)+1,LEN(J138))))</f>
        <v/>
      </c>
      <c r="X138" s="3" t="inlineStr">
        <is>
          <t>新北一</t>
        </is>
      </c>
      <c r="Y138" s="3">
        <f>VLOOKUP(V138,門市狀態!G:H,2,FALSE)</f>
        <v/>
      </c>
      <c r="Z138" s="371">
        <f>IF(D138="FVC7", IF(COUNTIF(特殊門市清單!N:N, B138)=0, "FVC7", VLOOKUP(B138,特殊門市清單!N:T,7,FALSE)), IF(AA138="v","Peplink",""))</f>
        <v/>
      </c>
      <c r="AA138" s="371">
        <f>IFERROR(VLOOKUP(B138,門市狀態!A:D,4,FALSE),"")</f>
        <v/>
      </c>
      <c r="AB138" s="379">
        <f>VLOOKUP(B138,門市主檔!A:B,2,FALSE)</f>
        <v/>
      </c>
      <c r="AC138" s="380" t="n"/>
      <c r="AD138" s="379" t="n"/>
      <c r="AE138" s="379" t="inlineStr">
        <is>
          <t>機上盒</t>
        </is>
      </c>
      <c r="AF138" s="379" t="inlineStr">
        <is>
          <t>EDC</t>
        </is>
      </c>
      <c r="AG138" s="379" t="n"/>
      <c r="AH138" s="379" t="n"/>
    </row>
    <row r="139" hidden="1"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77">
        <f>IFERROR(LEFT(J139,FIND("縣",J139)),IFERROR(LEFT(J139,FIND("市",J139)),J139))</f>
        <v/>
      </c>
      <c r="V139" s="378">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78">
        <f>IFERROR(MID(J139,IFERROR(FIND("鄉",J139),IFERROR(FIND("鎮",J139),FIND("區",J139)))+1,LEN(J139)),IFERROR(MID(J139,FIND("市",J139)+1,LEN(J139)),MID(J139,FIND("縣",J139)+1,LEN(J139))))</f>
        <v/>
      </c>
      <c r="X139" s="3" t="inlineStr">
        <is>
          <t>新北一</t>
        </is>
      </c>
      <c r="Y139" s="3">
        <f>VLOOKUP(V139,門市狀態!G:H,2,FALSE)</f>
        <v/>
      </c>
      <c r="Z139" s="371">
        <f>IF(D139="FVC7", IF(COUNTIF(特殊門市清單!N:N, B139)=0, "FVC7", VLOOKUP(B139,特殊門市清單!N:T,7,FALSE)), IF(AA139="v","Peplink",""))</f>
        <v/>
      </c>
      <c r="AA139" s="371">
        <f>IFERROR(VLOOKUP(B139,門市狀態!A:D,4,FALSE),"")</f>
        <v/>
      </c>
      <c r="AB139" s="379">
        <f>VLOOKUP(B139,門市主檔!A:B,2,FALSE)</f>
        <v/>
      </c>
      <c r="AC139" s="380" t="n"/>
      <c r="AD139" s="379" t="n"/>
      <c r="AE139" s="379" t="inlineStr">
        <is>
          <t>機上盒</t>
        </is>
      </c>
      <c r="AF139" s="379" t="inlineStr">
        <is>
          <t>EDC</t>
        </is>
      </c>
      <c r="AG139" s="379" t="n"/>
      <c r="AH139" s="379" t="n"/>
    </row>
    <row r="140" hidden="1"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77">
        <f>IFERROR(LEFT(J140,FIND("縣",J140)),IFERROR(LEFT(J140,FIND("市",J140)),J140))</f>
        <v/>
      </c>
      <c r="V140" s="378">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78">
        <f>IFERROR(MID(J140,IFERROR(FIND("鄉",J140),IFERROR(FIND("鎮",J140),FIND("區",J140)))+1,LEN(J140)),IFERROR(MID(J140,FIND("市",J140)+1,LEN(J140)),MID(J140,FIND("縣",J140)+1,LEN(J140))))</f>
        <v/>
      </c>
      <c r="X140" s="3" t="inlineStr">
        <is>
          <t>新北一</t>
        </is>
      </c>
      <c r="Y140" s="3">
        <f>VLOOKUP(V140,門市狀態!G:H,2,FALSE)</f>
        <v/>
      </c>
      <c r="Z140" s="371">
        <f>IF(D140="FVC7", IF(COUNTIF(特殊門市清單!N:N, B140)=0, "FVC7", VLOOKUP(B140,特殊門市清單!N:T,7,FALSE)), IF(AA140="v","Peplink",""))</f>
        <v/>
      </c>
      <c r="AA140" s="371">
        <f>IFERROR(VLOOKUP(B140,門市狀態!A:D,4,FALSE),"")</f>
        <v/>
      </c>
      <c r="AB140" s="379">
        <f>VLOOKUP(B140,門市主檔!A:B,2,FALSE)</f>
        <v/>
      </c>
      <c r="AC140" s="380" t="n"/>
      <c r="AD140" s="379" t="n"/>
      <c r="AE140" s="379" t="inlineStr">
        <is>
          <t>機上盒</t>
        </is>
      </c>
      <c r="AF140" s="379" t="inlineStr">
        <is>
          <t>EDC</t>
        </is>
      </c>
      <c r="AG140" s="379" t="n"/>
      <c r="AH140" s="379" t="n"/>
    </row>
    <row r="141" hidden="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77">
        <f>IFERROR(LEFT(J141,FIND("縣",J141)),IFERROR(LEFT(J141,FIND("市",J141)),J141))</f>
        <v/>
      </c>
      <c r="V141" s="378">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78">
        <f>IFERROR(MID(J141,IFERROR(FIND("鄉",J141),IFERROR(FIND("鎮",J141),FIND("區",J141)))+1,LEN(J141)),IFERROR(MID(J141,FIND("市",J141)+1,LEN(J141)),MID(J141,FIND("縣",J141)+1,LEN(J141))))</f>
        <v/>
      </c>
      <c r="X141" s="3" t="inlineStr">
        <is>
          <t>新北一</t>
        </is>
      </c>
      <c r="Y141" s="3">
        <f>VLOOKUP(V141,門市狀態!G:H,2,FALSE)</f>
        <v/>
      </c>
      <c r="Z141" s="371">
        <f>IF(D141="FVC7", IF(COUNTIF(特殊門市清單!N:N, B141)=0, "FVC7", VLOOKUP(B141,特殊門市清單!N:T,7,FALSE)), IF(AA141="v","Peplink",""))</f>
        <v/>
      </c>
      <c r="AA141" s="371">
        <f>IFERROR(VLOOKUP(B141,門市狀態!A:D,4,FALSE),"")</f>
        <v/>
      </c>
      <c r="AB141" s="379">
        <f>VLOOKUP(B141,門市主檔!A:B,2,FALSE)</f>
        <v/>
      </c>
      <c r="AC141" s="380" t="n"/>
      <c r="AD141" s="379" t="n"/>
      <c r="AE141" s="379" t="n"/>
      <c r="AF141" s="379" t="n"/>
      <c r="AG141" s="379" t="n"/>
      <c r="AH141" s="379" t="n"/>
    </row>
    <row r="142" hidden="1"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77">
        <f>IFERROR(LEFT(J142,FIND("縣",J142)),IFERROR(LEFT(J142,FIND("市",J142)),J142))</f>
        <v/>
      </c>
      <c r="V142" s="378">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78">
        <f>IFERROR(MID(J142,IFERROR(FIND("鄉",J142),IFERROR(FIND("鎮",J142),FIND("區",J142)))+1,LEN(J142)),IFERROR(MID(J142,FIND("市",J142)+1,LEN(J142)),MID(J142,FIND("縣",J142)+1,LEN(J142))))</f>
        <v/>
      </c>
      <c r="X142" s="3" t="inlineStr">
        <is>
          <t>新北一</t>
        </is>
      </c>
      <c r="Y142" s="3">
        <f>VLOOKUP(V142,門市狀態!G:H,2,FALSE)</f>
        <v/>
      </c>
      <c r="Z142" s="371">
        <f>IF(D142="FVC7", IF(COUNTIF(特殊門市清單!N:N, B142)=0, "FVC7", VLOOKUP(B142,特殊門市清單!N:T,7,FALSE)), IF(AA142="v","Peplink",""))</f>
        <v/>
      </c>
      <c r="AA142" s="371">
        <f>IFERROR(VLOOKUP(B142,門市狀態!A:D,4,FALSE),"")</f>
        <v/>
      </c>
      <c r="AB142" s="379">
        <f>VLOOKUP(B142,門市主檔!A:B,2,FALSE)</f>
        <v/>
      </c>
      <c r="AC142" s="380" t="n"/>
      <c r="AD142" s="379" t="n"/>
      <c r="AE142" s="379" t="n"/>
      <c r="AF142" s="379" t="inlineStr">
        <is>
          <t>EDC</t>
        </is>
      </c>
      <c r="AG142" s="379" t="n"/>
      <c r="AH142" s="379" t="n"/>
    </row>
    <row r="143" hidden="1"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77">
        <f>IFERROR(LEFT(J143,FIND("縣",J143)),IFERROR(LEFT(J143,FIND("市",J143)),J143))</f>
        <v/>
      </c>
      <c r="V143" s="378">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78">
        <f>IFERROR(MID(J143,IFERROR(FIND("鄉",J143),IFERROR(FIND("鎮",J143),FIND("區",J143)))+1,LEN(J143)),IFERROR(MID(J143,FIND("市",J143)+1,LEN(J143)),MID(J143,FIND("縣",J143)+1,LEN(J143))))</f>
        <v/>
      </c>
      <c r="X143" s="3" t="inlineStr">
        <is>
          <t>新北一</t>
        </is>
      </c>
      <c r="Y143" s="3">
        <f>VLOOKUP(V143,門市狀態!G:H,2,FALSE)</f>
        <v/>
      </c>
      <c r="Z143" s="371">
        <f>IF(D143="FVC7", IF(COUNTIF(特殊門市清單!N:N, B143)=0, "FVC7", VLOOKUP(B143,特殊門市清單!N:T,7,FALSE)), IF(AA143="v","Peplink",""))</f>
        <v/>
      </c>
      <c r="AA143" s="371">
        <f>IFERROR(VLOOKUP(B143,門市狀態!A:D,4,FALSE),"")</f>
        <v/>
      </c>
      <c r="AB143" s="379">
        <f>VLOOKUP(B143,門市主檔!A:B,2,FALSE)</f>
        <v/>
      </c>
      <c r="AC143" s="380" t="n"/>
      <c r="AD143" s="379" t="n"/>
      <c r="AE143" s="379" t="n"/>
      <c r="AF143" s="379" t="inlineStr">
        <is>
          <t>EDC</t>
        </is>
      </c>
      <c r="AG143" s="379" t="n"/>
      <c r="AH143" s="379" t="n"/>
    </row>
    <row r="144" hidden="1"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77">
        <f>IFERROR(LEFT(J144,FIND("縣",J144)),IFERROR(LEFT(J144,FIND("市",J144)),J144))</f>
        <v/>
      </c>
      <c r="V144" s="378">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78">
        <f>IFERROR(MID(J144,IFERROR(FIND("鄉",J144),IFERROR(FIND("鎮",J144),FIND("區",J144)))+1,LEN(J144)),IFERROR(MID(J144,FIND("市",J144)+1,LEN(J144)),MID(J144,FIND("縣",J144)+1,LEN(J144))))</f>
        <v/>
      </c>
      <c r="X144" s="3" t="inlineStr">
        <is>
          <t>新北一</t>
        </is>
      </c>
      <c r="Y144" s="3">
        <f>VLOOKUP(V144,門市狀態!G:H,2,FALSE)</f>
        <v/>
      </c>
      <c r="Z144" s="371">
        <f>IF(D144="FVC7", IF(COUNTIF(特殊門市清單!N:N, B144)=0, "FVC7", VLOOKUP(B144,特殊門市清單!N:T,7,FALSE)), IF(AA144="v","Peplink",""))</f>
        <v/>
      </c>
      <c r="AA144" s="371">
        <f>IFERROR(VLOOKUP(B144,門市狀態!A:D,4,FALSE),"")</f>
        <v/>
      </c>
      <c r="AB144" s="379">
        <f>VLOOKUP(B144,門市主檔!A:B,2,FALSE)</f>
        <v/>
      </c>
      <c r="AC144" s="380" t="n"/>
      <c r="AD144" s="379" t="n"/>
      <c r="AE144" s="379" t="n"/>
      <c r="AF144" s="379" t="inlineStr">
        <is>
          <t>EDC</t>
        </is>
      </c>
      <c r="AG144" s="379" t="n"/>
      <c r="AH144" s="379" t="n"/>
    </row>
    <row r="145" hidden="1"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77">
        <f>IFERROR(LEFT(J145,FIND("縣",J145)),IFERROR(LEFT(J145,FIND("市",J145)),J145))</f>
        <v/>
      </c>
      <c r="V145" s="378">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78">
        <f>IFERROR(MID(J145,IFERROR(FIND("鄉",J145),IFERROR(FIND("鎮",J145),FIND("區",J145)))+1,LEN(J145)),IFERROR(MID(J145,FIND("市",J145)+1,LEN(J145)),MID(J145,FIND("縣",J145)+1,LEN(J145))))</f>
        <v/>
      </c>
      <c r="X145" s="3" t="inlineStr">
        <is>
          <t>新北一</t>
        </is>
      </c>
      <c r="Y145" s="3">
        <f>VLOOKUP(V145,門市狀態!G:H,2,FALSE)</f>
        <v/>
      </c>
      <c r="Z145" s="371">
        <f>IF(D145="FVC7", IF(COUNTIF(特殊門市清單!N:N, B145)=0, "FVC7", VLOOKUP(B145,特殊門市清單!N:T,7,FALSE)), IF(AA145="v","Peplink",""))</f>
        <v/>
      </c>
      <c r="AA145" s="371">
        <f>IFERROR(VLOOKUP(B145,門市狀態!A:D,4,FALSE),"")</f>
        <v/>
      </c>
      <c r="AB145" s="379">
        <f>VLOOKUP(B145,門市主檔!A:B,2,FALSE)</f>
        <v/>
      </c>
      <c r="AC145" s="380" t="n"/>
      <c r="AD145" s="379" t="n"/>
      <c r="AE145" s="379" t="inlineStr">
        <is>
          <t>機上盒</t>
        </is>
      </c>
      <c r="AF145" s="379" t="inlineStr">
        <is>
          <t>EDC</t>
        </is>
      </c>
      <c r="AG145" s="379" t="n"/>
      <c r="AH145" s="379" t="n"/>
    </row>
    <row r="146" hidden="1"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77">
        <f>IFERROR(LEFT(J146,FIND("縣",J146)),IFERROR(LEFT(J146,FIND("市",J146)),J146))</f>
        <v/>
      </c>
      <c r="V146" s="378">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78">
        <f>IFERROR(MID(J146,IFERROR(FIND("鄉",J146),IFERROR(FIND("鎮",J146),FIND("區",J146)))+1,LEN(J146)),IFERROR(MID(J146,FIND("市",J146)+1,LEN(J146)),MID(J146,FIND("縣",J146)+1,LEN(J146))))</f>
        <v/>
      </c>
      <c r="X146" s="3" t="inlineStr">
        <is>
          <t>新北一</t>
        </is>
      </c>
      <c r="Y146" s="3">
        <f>VLOOKUP(V146,門市狀態!G:H,2,FALSE)</f>
        <v/>
      </c>
      <c r="Z146" s="371">
        <f>IF(D146="FVC7", IF(COUNTIF(特殊門市清單!N:N, B146)=0, "FVC7", VLOOKUP(B146,特殊門市清單!N:T,7,FALSE)), IF(AA146="v","Peplink",""))</f>
        <v/>
      </c>
      <c r="AA146" s="371">
        <f>IFERROR(VLOOKUP(B146,門市狀態!A:D,4,FALSE),"")</f>
        <v/>
      </c>
      <c r="AB146" s="379">
        <f>VLOOKUP(B146,門市主檔!A:B,2,FALSE)</f>
        <v/>
      </c>
      <c r="AC146" s="380" t="n"/>
      <c r="AD146" s="379" t="n"/>
      <c r="AE146" s="379" t="n"/>
      <c r="AF146" s="379" t="inlineStr">
        <is>
          <t>EDC</t>
        </is>
      </c>
      <c r="AG146" s="379" t="n"/>
      <c r="AH146" s="379" t="n"/>
    </row>
    <row r="147" hidden="1"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77">
        <f>IFERROR(LEFT(J147,FIND("縣",J147)),IFERROR(LEFT(J147,FIND("市",J147)),J147))</f>
        <v/>
      </c>
      <c r="V147" s="378">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78">
        <f>IFERROR(MID(J147,IFERROR(FIND("鄉",J147),IFERROR(FIND("鎮",J147),FIND("區",J147)))+1,LEN(J147)),IFERROR(MID(J147,FIND("市",J147)+1,LEN(J147)),MID(J147,FIND("縣",J147)+1,LEN(J147))))</f>
        <v/>
      </c>
      <c r="X147" s="3" t="inlineStr">
        <is>
          <t>新北一</t>
        </is>
      </c>
      <c r="Y147" s="3">
        <f>VLOOKUP(V147,門市狀態!G:H,2,FALSE)</f>
        <v/>
      </c>
      <c r="Z147" s="371">
        <f>IF(D147="FVC7", IF(COUNTIF(特殊門市清單!N:N, B147)=0, "FVC7", VLOOKUP(B147,特殊門市清單!N:T,7,FALSE)), IF(AA147="v","Peplink",""))</f>
        <v/>
      </c>
      <c r="AA147" s="371">
        <f>IFERROR(VLOOKUP(B147,門市狀態!A:D,4,FALSE),"")</f>
        <v/>
      </c>
      <c r="AB147" s="379">
        <f>VLOOKUP(B147,門市主檔!A:B,2,FALSE)</f>
        <v/>
      </c>
      <c r="AC147" s="380" t="n"/>
      <c r="AD147" s="379" t="n"/>
      <c r="AE147" s="379" t="n"/>
      <c r="AF147" s="379" t="inlineStr">
        <is>
          <t>EDC</t>
        </is>
      </c>
      <c r="AG147" s="379" t="n"/>
      <c r="AH147" s="379" t="n"/>
    </row>
    <row r="148" hidden="1"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77">
        <f>IFERROR(LEFT(J148,FIND("縣",J148)),IFERROR(LEFT(J148,FIND("市",J148)),J148))</f>
        <v/>
      </c>
      <c r="V148" s="378">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78">
        <f>IFERROR(MID(J148,IFERROR(FIND("鄉",J148),IFERROR(FIND("鎮",J148),FIND("區",J148)))+1,LEN(J148)),IFERROR(MID(J148,FIND("市",J148)+1,LEN(J148)),MID(J148,FIND("縣",J148)+1,LEN(J148))))</f>
        <v/>
      </c>
      <c r="X148" s="3" t="inlineStr">
        <is>
          <t>新北一</t>
        </is>
      </c>
      <c r="Y148" s="3">
        <f>VLOOKUP(V148,門市狀態!G:H,2,FALSE)</f>
        <v/>
      </c>
      <c r="Z148" s="371">
        <f>IF(D148="FVC7", IF(COUNTIF(特殊門市清單!N:N, B148)=0, "FVC7", VLOOKUP(B148,特殊門市清單!N:T,7,FALSE)), IF(AA148="v","Peplink",""))</f>
        <v/>
      </c>
      <c r="AA148" s="371">
        <f>IFERROR(VLOOKUP(B148,門市狀態!A:D,4,FALSE),"")</f>
        <v/>
      </c>
      <c r="AB148" s="379">
        <f>VLOOKUP(B148,門市主檔!A:B,2,FALSE)</f>
        <v/>
      </c>
      <c r="AC148" s="380" t="n"/>
      <c r="AD148" s="379" t="n"/>
      <c r="AE148" s="379" t="inlineStr">
        <is>
          <t>機上盒</t>
        </is>
      </c>
      <c r="AF148" s="379" t="inlineStr">
        <is>
          <t>EDC</t>
        </is>
      </c>
      <c r="AG148" s="379" t="n"/>
      <c r="AH148" s="379" t="n"/>
    </row>
    <row r="149" hidden="1"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77">
        <f>IFERROR(LEFT(J149,FIND("縣",J149)),IFERROR(LEFT(J149,FIND("市",J149)),J149))</f>
        <v/>
      </c>
      <c r="V149" s="378">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78">
        <f>IFERROR(MID(J149,IFERROR(FIND("鄉",J149),IFERROR(FIND("鎮",J149),FIND("區",J149)))+1,LEN(J149)),IFERROR(MID(J149,FIND("市",J149)+1,LEN(J149)),MID(J149,FIND("縣",J149)+1,LEN(J149))))</f>
        <v/>
      </c>
      <c r="X149" s="3" t="inlineStr">
        <is>
          <t>新北一</t>
        </is>
      </c>
      <c r="Y149" s="3">
        <f>VLOOKUP(V149,門市狀態!G:H,2,FALSE)</f>
        <v/>
      </c>
      <c r="Z149" s="371">
        <f>IF(D149="FVC7", IF(COUNTIF(特殊門市清單!N:N, B149)=0, "FVC7", VLOOKUP(B149,特殊門市清單!N:T,7,FALSE)), IF(AA149="v","Peplink",""))</f>
        <v/>
      </c>
      <c r="AA149" s="371">
        <f>IFERROR(VLOOKUP(B149,門市狀態!A:D,4,FALSE),"")</f>
        <v/>
      </c>
      <c r="AB149" s="379">
        <f>VLOOKUP(B149,門市主檔!A:B,2,FALSE)</f>
        <v/>
      </c>
      <c r="AC149" s="380" t="n"/>
      <c r="AD149" s="379" t="n"/>
      <c r="AE149" s="379" t="inlineStr">
        <is>
          <t>機上盒</t>
        </is>
      </c>
      <c r="AF149" s="379" t="inlineStr">
        <is>
          <t>EDC</t>
        </is>
      </c>
      <c r="AG149" s="379" t="n"/>
      <c r="AH149" s="379" t="n"/>
    </row>
    <row r="150" hidden="1"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77">
        <f>IFERROR(LEFT(J150,FIND("縣",J150)),IFERROR(LEFT(J150,FIND("市",J150)),J150))</f>
        <v/>
      </c>
      <c r="V150" s="378">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78">
        <f>IFERROR(MID(J150,IFERROR(FIND("鄉",J150),IFERROR(FIND("鎮",J150),FIND("區",J150)))+1,LEN(J150)),IFERROR(MID(J150,FIND("市",J150)+1,LEN(J150)),MID(J150,FIND("縣",J150)+1,LEN(J150))))</f>
        <v/>
      </c>
      <c r="X150" s="3" t="inlineStr">
        <is>
          <t>新北一</t>
        </is>
      </c>
      <c r="Y150" s="3">
        <f>VLOOKUP(V150,門市狀態!G:H,2,FALSE)</f>
        <v/>
      </c>
      <c r="Z150" s="371">
        <f>IF(D150="FVC7", IF(COUNTIF(特殊門市清單!N:N, B150)=0, "FVC7", VLOOKUP(B150,特殊門市清單!N:T,7,FALSE)), IF(AA150="v","Peplink",""))</f>
        <v/>
      </c>
      <c r="AA150" s="371">
        <f>IFERROR(VLOOKUP(B150,門市狀態!A:D,4,FALSE),"")</f>
        <v/>
      </c>
      <c r="AB150" s="379">
        <f>VLOOKUP(B150,門市主檔!A:B,2,FALSE)</f>
        <v/>
      </c>
      <c r="AC150" s="380" t="n"/>
      <c r="AD150" s="379" t="n"/>
      <c r="AE150" s="379" t="n"/>
      <c r="AF150" s="379" t="inlineStr">
        <is>
          <t>EDC</t>
        </is>
      </c>
      <c r="AG150" s="379" t="n"/>
      <c r="AH150" s="379" t="n"/>
    </row>
    <row r="151" hidden="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77">
        <f>IFERROR(LEFT(J151,FIND("縣",J151)),IFERROR(LEFT(J151,FIND("市",J151)),J151))</f>
        <v/>
      </c>
      <c r="V151" s="378">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78">
        <f>IFERROR(MID(J151,IFERROR(FIND("鄉",J151),IFERROR(FIND("鎮",J151),FIND("區",J151)))+1,LEN(J151)),IFERROR(MID(J151,FIND("市",J151)+1,LEN(J151)),MID(J151,FIND("縣",J151)+1,LEN(J151))))</f>
        <v/>
      </c>
      <c r="X151" s="3" t="inlineStr">
        <is>
          <t>新北一</t>
        </is>
      </c>
      <c r="Y151" s="3">
        <f>VLOOKUP(V151,門市狀態!G:H,2,FALSE)</f>
        <v/>
      </c>
      <c r="Z151" s="371">
        <f>IF(D151="FVC7", IF(COUNTIF(特殊門市清單!N:N, B151)=0, "FVC7", VLOOKUP(B151,特殊門市清單!N:T,7,FALSE)), IF(AA151="v","Peplink",""))</f>
        <v/>
      </c>
      <c r="AA151" s="371">
        <f>IFERROR(VLOOKUP(B151,門市狀態!A:D,4,FALSE),"")</f>
        <v/>
      </c>
      <c r="AB151" s="379">
        <f>VLOOKUP(B151,門市主檔!A:B,2,FALSE)</f>
        <v/>
      </c>
      <c r="AC151" s="380" t="n"/>
      <c r="AD151" s="379" t="n"/>
      <c r="AE151" s="379" t="n"/>
      <c r="AF151" s="379" t="inlineStr">
        <is>
          <t>EDC</t>
        </is>
      </c>
      <c r="AG151" s="379" t="n"/>
      <c r="AH151" s="379" t="inlineStr">
        <is>
          <t>TVV</t>
        </is>
      </c>
    </row>
    <row r="152" hidden="1"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77">
        <f>IFERROR(LEFT(J152,FIND("縣",J152)),IFERROR(LEFT(J152,FIND("市",J152)),J152))</f>
        <v/>
      </c>
      <c r="V152" s="378">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78">
        <f>IFERROR(MID(J152,IFERROR(FIND("鄉",J152),IFERROR(FIND("鎮",J152),FIND("區",J152)))+1,LEN(J152)),IFERROR(MID(J152,FIND("市",J152)+1,LEN(J152)),MID(J152,FIND("縣",J152)+1,LEN(J152))))</f>
        <v/>
      </c>
      <c r="X152" s="3" t="inlineStr">
        <is>
          <t>新北一</t>
        </is>
      </c>
      <c r="Y152" s="3">
        <f>VLOOKUP(V152,門市狀態!G:H,2,FALSE)</f>
        <v/>
      </c>
      <c r="Z152" s="371">
        <f>IF(D152="FVC7", IF(COUNTIF(特殊門市清單!N:N, B152)=0, "FVC7", VLOOKUP(B152,特殊門市清單!N:T,7,FALSE)), IF(AA152="v","Peplink",""))</f>
        <v/>
      </c>
      <c r="AA152" s="371">
        <f>IFERROR(VLOOKUP(B152,門市狀態!A:D,4,FALSE),"")</f>
        <v/>
      </c>
      <c r="AB152" s="379">
        <f>VLOOKUP(B152,門市主檔!A:B,2,FALSE)</f>
        <v/>
      </c>
      <c r="AC152" s="380" t="n"/>
      <c r="AD152" s="379" t="n"/>
      <c r="AE152" s="379" t="n"/>
      <c r="AF152" s="379" t="inlineStr">
        <is>
          <t>EDC</t>
        </is>
      </c>
      <c r="AG152" s="379" t="n"/>
      <c r="AH152" s="379" t="n"/>
    </row>
    <row r="153" hidden="1"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77">
        <f>IFERROR(LEFT(J153,FIND("縣",J153)),IFERROR(LEFT(J153,FIND("市",J153)),J153))</f>
        <v/>
      </c>
      <c r="V153" s="378">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78">
        <f>IFERROR(MID(J153,IFERROR(FIND("鄉",J153),IFERROR(FIND("鎮",J153),FIND("區",J153)))+1,LEN(J153)),IFERROR(MID(J153,FIND("市",J153)+1,LEN(J153)),MID(J153,FIND("縣",J153)+1,LEN(J153))))</f>
        <v/>
      </c>
      <c r="X153" s="3" t="inlineStr">
        <is>
          <t>新北一</t>
        </is>
      </c>
      <c r="Y153" s="3">
        <f>VLOOKUP(V153,門市狀態!G:H,2,FALSE)</f>
        <v/>
      </c>
      <c r="Z153" s="371">
        <f>IF(D153="FVC7", IF(COUNTIF(特殊門市清單!N:N, B153)=0, "FVC7", VLOOKUP(B153,特殊門市清單!N:T,7,FALSE)), IF(AA153="v","Peplink",""))</f>
        <v/>
      </c>
      <c r="AA153" s="371">
        <f>IFERROR(VLOOKUP(B153,門市狀態!A:D,4,FALSE),"")</f>
        <v/>
      </c>
      <c r="AB153" s="379">
        <f>VLOOKUP(B153,門市主檔!A:B,2,FALSE)</f>
        <v/>
      </c>
      <c r="AC153" s="380" t="n"/>
      <c r="AD153" s="379" t="n"/>
      <c r="AE153" s="379" t="n"/>
      <c r="AF153" s="379" t="inlineStr">
        <is>
          <t>EDC</t>
        </is>
      </c>
      <c r="AG153" s="379" t="n"/>
      <c r="AH153" s="379" t="n"/>
    </row>
    <row r="154" hidden="1"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77">
        <f>IFERROR(LEFT(J154,FIND("縣",J154)),IFERROR(LEFT(J154,FIND("市",J154)),J154))</f>
        <v/>
      </c>
      <c r="V154" s="378">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78">
        <f>IFERROR(MID(J154,IFERROR(FIND("鄉",J154),IFERROR(FIND("鎮",J154),FIND("區",J154)))+1,LEN(J154)),IFERROR(MID(J154,FIND("市",J154)+1,LEN(J154)),MID(J154,FIND("縣",J154)+1,LEN(J154))))</f>
        <v/>
      </c>
      <c r="X154" s="3" t="inlineStr">
        <is>
          <t>新北一</t>
        </is>
      </c>
      <c r="Y154" s="3">
        <f>VLOOKUP(V154,門市狀態!G:H,2,FALSE)</f>
        <v/>
      </c>
      <c r="Z154" s="371">
        <f>IF(D154="FVC7", IF(COUNTIF(特殊門市清單!N:N, B154)=0, "FVC7", VLOOKUP(B154,特殊門市清單!N:T,7,FALSE)), IF(AA154="v","Peplink",""))</f>
        <v/>
      </c>
      <c r="AA154" s="371">
        <f>IFERROR(VLOOKUP(B154,門市狀態!A:D,4,FALSE),"")</f>
        <v/>
      </c>
      <c r="AB154" s="379">
        <f>VLOOKUP(B154,門市主檔!A:B,2,FALSE)</f>
        <v/>
      </c>
      <c r="AC154" s="380" t="n"/>
      <c r="AD154" s="379" t="n"/>
      <c r="AE154" s="379" t="n"/>
      <c r="AF154" s="379" t="inlineStr">
        <is>
          <t>EDC</t>
        </is>
      </c>
      <c r="AG154" s="379" t="n"/>
      <c r="AH154" s="379" t="n"/>
    </row>
    <row r="155" hidden="1"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77">
        <f>IFERROR(LEFT(J155,FIND("縣",J155)),IFERROR(LEFT(J155,FIND("市",J155)),J155))</f>
        <v/>
      </c>
      <c r="V155" s="378">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78">
        <f>IFERROR(MID(J155,IFERROR(FIND("鄉",J155),IFERROR(FIND("鎮",J155),FIND("區",J155)))+1,LEN(J155)),IFERROR(MID(J155,FIND("市",J155)+1,LEN(J155)),MID(J155,FIND("縣",J155)+1,LEN(J155))))</f>
        <v/>
      </c>
      <c r="X155" s="3" t="inlineStr">
        <is>
          <t>新北一</t>
        </is>
      </c>
      <c r="Y155" s="3">
        <f>VLOOKUP(V155,門市狀態!G:H,2,FALSE)</f>
        <v/>
      </c>
      <c r="Z155" s="371">
        <f>IF(D155="FVC7", IF(COUNTIF(特殊門市清單!N:N, B155)=0, "FVC7", VLOOKUP(B155,特殊門市清單!N:T,7,FALSE)), IF(AA155="v","Peplink",""))</f>
        <v/>
      </c>
      <c r="AA155" s="371">
        <f>IFERROR(VLOOKUP(B155,門市狀態!A:D,4,FALSE),"")</f>
        <v/>
      </c>
      <c r="AB155" s="379">
        <f>VLOOKUP(B155,門市主檔!A:B,2,FALSE)</f>
        <v/>
      </c>
      <c r="AC155" s="380" t="n"/>
      <c r="AD155" s="379" t="n"/>
      <c r="AE155" s="379" t="n"/>
      <c r="AF155" s="379" t="inlineStr">
        <is>
          <t>EDC</t>
        </is>
      </c>
      <c r="AG155" s="379" t="n"/>
      <c r="AH155" s="379" t="n"/>
    </row>
    <row r="156" hidden="1"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77">
        <f>IFERROR(LEFT(J156,FIND("縣",J156)),IFERROR(LEFT(J156,FIND("市",J156)),J156))</f>
        <v/>
      </c>
      <c r="V156" s="378">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78">
        <f>IFERROR(MID(J156,IFERROR(FIND("鄉",J156),IFERROR(FIND("鎮",J156),FIND("區",J156)))+1,LEN(J156)),IFERROR(MID(J156,FIND("市",J156)+1,LEN(J156)),MID(J156,FIND("縣",J156)+1,LEN(J156))))</f>
        <v/>
      </c>
      <c r="X156" s="3" t="inlineStr">
        <is>
          <t>新北一</t>
        </is>
      </c>
      <c r="Y156" s="3">
        <f>VLOOKUP(V156,門市狀態!G:H,2,FALSE)</f>
        <v/>
      </c>
      <c r="Z156" s="371">
        <f>IF(D156="FVC7", IF(COUNTIF(特殊門市清單!N:N, B156)=0, "FVC7", VLOOKUP(B156,特殊門市清單!N:T,7,FALSE)), IF(AA156="v","Peplink",""))</f>
        <v/>
      </c>
      <c r="AA156" s="371">
        <f>IFERROR(VLOOKUP(B156,門市狀態!A:D,4,FALSE),"")</f>
        <v/>
      </c>
      <c r="AB156" s="379">
        <f>VLOOKUP(B156,門市主檔!A:B,2,FALSE)</f>
        <v/>
      </c>
      <c r="AC156" s="381" t="n"/>
      <c r="AD156" s="379" t="n"/>
      <c r="AE156" s="379" t="n"/>
      <c r="AF156" s="379" t="inlineStr">
        <is>
          <t>EDC</t>
        </is>
      </c>
      <c r="AG156" s="379" t="n"/>
      <c r="AH156" s="379" t="n"/>
    </row>
    <row r="157" hidden="1"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77">
        <f>IFERROR(LEFT(J157,FIND("縣",J157)),IFERROR(LEFT(J157,FIND("市",J157)),J157))</f>
        <v/>
      </c>
      <c r="V157" s="378">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78">
        <f>IFERROR(MID(J157,IFERROR(FIND("鄉",J157),IFERROR(FIND("鎮",J157),FIND("區",J157)))+1,LEN(J157)),IFERROR(MID(J157,FIND("市",J157)+1,LEN(J157)),MID(J157,FIND("縣",J157)+1,LEN(J157))))</f>
        <v/>
      </c>
      <c r="X157" s="3" t="inlineStr">
        <is>
          <t>新北一</t>
        </is>
      </c>
      <c r="Y157" s="3">
        <f>VLOOKUP(V157,門市狀態!G:H,2,FALSE)</f>
        <v/>
      </c>
      <c r="Z157" s="371">
        <f>IF(D157="FVC7", IF(COUNTIF(特殊門市清單!N:N, B157)=0, "FVC7", VLOOKUP(B157,特殊門市清單!N:T,7,FALSE)), IF(AA157="v","Peplink",""))</f>
        <v/>
      </c>
      <c r="AA157" s="371">
        <f>IFERROR(VLOOKUP(B157,門市狀態!A:D,4,FALSE),"")</f>
        <v/>
      </c>
      <c r="AB157" s="379">
        <f>VLOOKUP(B157,門市主檔!A:B,2,FALSE)</f>
        <v/>
      </c>
      <c r="AC157" s="381" t="n"/>
      <c r="AD157" s="379" t="n"/>
      <c r="AE157" s="379" t="n"/>
      <c r="AF157" s="379" t="inlineStr">
        <is>
          <t>EDC</t>
        </is>
      </c>
      <c r="AG157" s="379" t="n"/>
      <c r="AH157" s="379" t="n"/>
    </row>
    <row r="158" hidden="1"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77">
        <f>IFERROR(LEFT(J158,FIND("縣",J158)),IFERROR(LEFT(J158,FIND("市",J158)),J158))</f>
        <v/>
      </c>
      <c r="V158" s="378">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78">
        <f>IFERROR(MID(J158,IFERROR(FIND("鄉",J158),IFERROR(FIND("鎮",J158),FIND("區",J158)))+1,LEN(J158)),IFERROR(MID(J158,FIND("市",J158)+1,LEN(J158)),MID(J158,FIND("縣",J158)+1,LEN(J158))))</f>
        <v/>
      </c>
      <c r="X158" s="3" t="inlineStr">
        <is>
          <t>新北一</t>
        </is>
      </c>
      <c r="Y158" s="3">
        <f>VLOOKUP(V158,門市狀態!G:H,2,FALSE)</f>
        <v/>
      </c>
      <c r="Z158" s="371">
        <f>IF(D158="FVC7", IF(COUNTIF(特殊門市清單!N:N, B158)=0, "FVC7", VLOOKUP(B158,特殊門市清單!N:T,7,FALSE)), IF(AA158="v","Peplink",""))</f>
        <v/>
      </c>
      <c r="AA158" s="371">
        <f>IFERROR(VLOOKUP(B158,門市狀態!A:D,4,FALSE),"")</f>
        <v/>
      </c>
      <c r="AB158" s="379">
        <f>VLOOKUP(B158,門市主檔!A:B,2,FALSE)</f>
        <v/>
      </c>
      <c r="AC158" s="381" t="n"/>
      <c r="AD158" s="379" t="n"/>
      <c r="AE158" s="379" t="n"/>
      <c r="AF158" s="379" t="inlineStr">
        <is>
          <t>EDC</t>
        </is>
      </c>
      <c r="AG158" s="379" t="n"/>
      <c r="AH158" s="379" t="n"/>
    </row>
    <row r="159" hidden="1"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77">
        <f>IFERROR(LEFT(J159,FIND("縣",J159)),IFERROR(LEFT(J159,FIND("市",J159)),J159))</f>
        <v/>
      </c>
      <c r="V159" s="378">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78">
        <f>IFERROR(MID(J159,IFERROR(FIND("鄉",J159),IFERROR(FIND("鎮",J159),FIND("區",J159)))+1,LEN(J159)),IFERROR(MID(J159,FIND("市",J159)+1,LEN(J159)),MID(J159,FIND("縣",J159)+1,LEN(J159))))</f>
        <v/>
      </c>
      <c r="X159" s="3" t="inlineStr">
        <is>
          <t>新北一</t>
        </is>
      </c>
      <c r="Y159" s="3">
        <f>VLOOKUP(V159,門市狀態!G:H,2,FALSE)</f>
        <v/>
      </c>
      <c r="Z159" s="371">
        <f>IF(D159="FVC7", IF(COUNTIF(特殊門市清單!N:N, B159)=0, "FVC7", VLOOKUP(B159,特殊門市清單!N:T,7,FALSE)), IF(AA159="v","Peplink",""))</f>
        <v/>
      </c>
      <c r="AA159" s="371">
        <f>IFERROR(VLOOKUP(B159,門市狀態!A:D,4,FALSE),"")</f>
        <v/>
      </c>
      <c r="AB159" s="379">
        <f>VLOOKUP(B159,門市主檔!A:B,2,FALSE)</f>
        <v/>
      </c>
      <c r="AC159" s="381" t="n"/>
      <c r="AD159" s="379" t="n"/>
      <c r="AE159" s="379" t="n"/>
      <c r="AF159" s="379" t="inlineStr">
        <is>
          <t>EDC</t>
        </is>
      </c>
      <c r="AG159" s="379" t="n"/>
      <c r="AH159" s="379" t="inlineStr">
        <is>
          <t>TVV</t>
        </is>
      </c>
    </row>
    <row r="160" hidden="1"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77">
        <f>IFERROR(LEFT(J160,FIND("縣",J160)),IFERROR(LEFT(J160,FIND("市",J160)),J160))</f>
        <v/>
      </c>
      <c r="V160" s="378">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78">
        <f>IFERROR(MID(J160,IFERROR(FIND("鄉",J160),IFERROR(FIND("鎮",J160),FIND("區",J160)))+1,LEN(J160)),IFERROR(MID(J160,FIND("市",J160)+1,LEN(J160)),MID(J160,FIND("縣",J160)+1,LEN(J160))))</f>
        <v/>
      </c>
      <c r="X160" s="3" t="inlineStr">
        <is>
          <t>新北一</t>
        </is>
      </c>
      <c r="Y160" s="3">
        <f>VLOOKUP(V160,門市狀態!G:H,2,FALSE)</f>
        <v/>
      </c>
      <c r="Z160" s="371">
        <f>IF(D160="FVC7", IF(COUNTIF(特殊門市清單!N:N, B160)=0, "FVC7", VLOOKUP(B160,特殊門市清單!N:T,7,FALSE)), IF(AA160="v","Peplink",""))</f>
        <v/>
      </c>
      <c r="AA160" s="371">
        <f>IFERROR(VLOOKUP(B160,門市狀態!A:D,4,FALSE),"")</f>
        <v/>
      </c>
      <c r="AB160" s="379">
        <f>VLOOKUP(B160,門市主檔!A:B,2,FALSE)</f>
        <v/>
      </c>
      <c r="AC160" s="381" t="n"/>
      <c r="AD160" s="379" t="n"/>
      <c r="AE160" s="379" t="n"/>
      <c r="AF160" s="379" t="inlineStr">
        <is>
          <t>EDC</t>
        </is>
      </c>
      <c r="AG160" s="379" t="n"/>
      <c r="AH160" s="379" t="inlineStr">
        <is>
          <t>TVV</t>
        </is>
      </c>
    </row>
    <row r="161" hidden="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77">
        <f>IFERROR(LEFT(J161,FIND("縣",J161)),IFERROR(LEFT(J161,FIND("市",J161)),J161))</f>
        <v/>
      </c>
      <c r="V161" s="378">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78">
        <f>IFERROR(MID(J161,IFERROR(FIND("鄉",J161),IFERROR(FIND("鎮",J161),FIND("區",J161)))+1,LEN(J161)),IFERROR(MID(J161,FIND("市",J161)+1,LEN(J161)),MID(J161,FIND("縣",J161)+1,LEN(J161))))</f>
        <v/>
      </c>
      <c r="X161" s="3" t="inlineStr">
        <is>
          <t>新北一</t>
        </is>
      </c>
      <c r="Y161" s="3">
        <f>VLOOKUP(V161,門市狀態!G:H,2,FALSE)</f>
        <v/>
      </c>
      <c r="Z161" s="371">
        <f>IF(D161="FVC7", IF(COUNTIF(特殊門市清單!N:N, B161)=0, "FVC7", VLOOKUP(B161,特殊門市清單!N:T,7,FALSE)), IF(AA161="v","Peplink",""))</f>
        <v/>
      </c>
      <c r="AA161" s="371">
        <f>IFERROR(VLOOKUP(B161,門市狀態!A:D,4,FALSE),"")</f>
        <v/>
      </c>
      <c r="AB161" s="379">
        <f>VLOOKUP(B161,門市主檔!A:B,2,FALSE)</f>
        <v/>
      </c>
      <c r="AC161" s="381" t="n"/>
      <c r="AD161" s="379" t="n"/>
      <c r="AE161" s="379" t="inlineStr">
        <is>
          <t>機上盒</t>
        </is>
      </c>
      <c r="AF161" s="379" t="inlineStr">
        <is>
          <t>EDC</t>
        </is>
      </c>
      <c r="AG161" s="379" t="n"/>
      <c r="AH161" s="379" t="n"/>
    </row>
    <row r="162" hidden="1"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77">
        <f>IFERROR(LEFT(J162,FIND("縣",J162)),IFERROR(LEFT(J162,FIND("市",J162)),J162))</f>
        <v/>
      </c>
      <c r="V162" s="378">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78">
        <f>IFERROR(MID(J162,IFERROR(FIND("鄉",J162),IFERROR(FIND("鎮",J162),FIND("區",J162)))+1,LEN(J162)),IFERROR(MID(J162,FIND("市",J162)+1,LEN(J162)),MID(J162,FIND("縣",J162)+1,LEN(J162))))</f>
        <v/>
      </c>
      <c r="X162" s="3" t="inlineStr">
        <is>
          <t>新北一</t>
        </is>
      </c>
      <c r="Y162" s="3">
        <f>VLOOKUP(V162,門市狀態!G:H,2,FALSE)</f>
        <v/>
      </c>
      <c r="Z162" s="371">
        <f>IF(D162="FVC7", IF(COUNTIF(特殊門市清單!N:N, B162)=0, "FVC7", VLOOKUP(B162,特殊門市清單!N:T,7,FALSE)), IF(AA162="v","Peplink",""))</f>
        <v/>
      </c>
      <c r="AA162" s="371">
        <f>IFERROR(VLOOKUP(B162,門市狀態!A:D,4,FALSE),"")</f>
        <v/>
      </c>
      <c r="AB162" s="379">
        <f>VLOOKUP(B162,門市主檔!A:B,2,FALSE)</f>
        <v/>
      </c>
      <c r="AC162" s="381" t="n"/>
      <c r="AD162" s="379" t="n"/>
      <c r="AE162" s="379" t="n"/>
      <c r="AF162" s="379" t="inlineStr">
        <is>
          <t>EDC</t>
        </is>
      </c>
      <c r="AG162" s="379" t="n"/>
      <c r="AH162" s="379" t="n"/>
    </row>
    <row r="163" hidden="1"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77">
        <f>IFERROR(LEFT(J163,FIND("縣",J163)),IFERROR(LEFT(J163,FIND("市",J163)),J163))</f>
        <v/>
      </c>
      <c r="V163" s="378">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78">
        <f>IFERROR(MID(J163,IFERROR(FIND("鄉",J163),IFERROR(FIND("鎮",J163),FIND("區",J163)))+1,LEN(J163)),IFERROR(MID(J163,FIND("市",J163)+1,LEN(J163)),MID(J163,FIND("縣",J163)+1,LEN(J163))))</f>
        <v/>
      </c>
      <c r="X163" s="3" t="inlineStr">
        <is>
          <t>新北一</t>
        </is>
      </c>
      <c r="Y163" s="3">
        <f>VLOOKUP(V163,門市狀態!G:H,2,FALSE)</f>
        <v/>
      </c>
      <c r="Z163" s="371">
        <f>IF(D163="FVC7", IF(COUNTIF(特殊門市清單!N:N, B163)=0, "FVC7", VLOOKUP(B163,特殊門市清單!N:T,7,FALSE)), IF(AA163="v","Peplink",""))</f>
        <v/>
      </c>
      <c r="AA163" s="371">
        <f>IFERROR(VLOOKUP(B163,門市狀態!A:D,4,FALSE),"")</f>
        <v/>
      </c>
      <c r="AB163" s="379">
        <f>VLOOKUP(B163,門市主檔!A:B,2,FALSE)</f>
        <v/>
      </c>
      <c r="AC163" s="381" t="n"/>
      <c r="AD163" s="379" t="n"/>
      <c r="AE163" s="379" t="n"/>
      <c r="AF163" s="379" t="inlineStr">
        <is>
          <t>EDC</t>
        </is>
      </c>
      <c r="AG163" s="379" t="n"/>
      <c r="AH163" s="379" t="n"/>
    </row>
    <row r="164" hidden="1"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77">
        <f>IFERROR(LEFT(J164,FIND("縣",J164)),IFERROR(LEFT(J164,FIND("市",J164)),J164))</f>
        <v/>
      </c>
      <c r="V164" s="378">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78">
        <f>IFERROR(MID(J164,IFERROR(FIND("鄉",J164),IFERROR(FIND("鎮",J164),FIND("區",J164)))+1,LEN(J164)),IFERROR(MID(J164,FIND("市",J164)+1,LEN(J164)),MID(J164,FIND("縣",J164)+1,LEN(J164))))</f>
        <v/>
      </c>
      <c r="X164" s="3" t="inlineStr">
        <is>
          <t>新北一</t>
        </is>
      </c>
      <c r="Y164" s="3">
        <f>VLOOKUP(V164,門市狀態!G:H,2,FALSE)</f>
        <v/>
      </c>
      <c r="Z164" s="371" t="inlineStr">
        <is>
          <t>學校</t>
        </is>
      </c>
      <c r="AA164" s="371">
        <f>IFERROR(VLOOKUP(B164,門市狀態!A:D,4,FALSE),"")</f>
        <v/>
      </c>
      <c r="AB164" s="379">
        <f>VLOOKUP(B164,門市主檔!A:B,2,FALSE)</f>
        <v/>
      </c>
      <c r="AC164" s="380" t="n"/>
      <c r="AD164" s="379" t="inlineStr">
        <is>
          <t>學校</t>
        </is>
      </c>
      <c r="AE164" s="379" t="n"/>
      <c r="AF164" s="379" t="inlineStr">
        <is>
          <t>EDC</t>
        </is>
      </c>
      <c r="AG164" s="379" t="n"/>
      <c r="AH164" s="379" t="n"/>
    </row>
    <row r="165" hidden="1"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77">
        <f>IFERROR(LEFT(J165,FIND("縣",J165)),IFERROR(LEFT(J165,FIND("市",J165)),J165))</f>
        <v/>
      </c>
      <c r="V165" s="378">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78">
        <f>IFERROR(MID(J165,IFERROR(FIND("鄉",J165),IFERROR(FIND("鎮",J165),FIND("區",J165)))+1,LEN(J165)),IFERROR(MID(J165,FIND("市",J165)+1,LEN(J165)),MID(J165,FIND("縣",J165)+1,LEN(J165))))</f>
        <v/>
      </c>
      <c r="X165" s="3" t="inlineStr">
        <is>
          <t>新北一</t>
        </is>
      </c>
      <c r="Y165" s="3">
        <f>VLOOKUP(V165,門市狀態!G:H,2,FALSE)</f>
        <v/>
      </c>
      <c r="Z165" s="371">
        <f>IF(D165="FVC7", IF(COUNTIF(特殊門市清單!N:N, B165)=0, "FVC7", VLOOKUP(B165,特殊門市清單!N:T,7,FALSE)), IF(AA165="v","Peplink",""))</f>
        <v/>
      </c>
      <c r="AA165" s="371">
        <f>IFERROR(VLOOKUP(B165,門市狀態!A:D,4,FALSE),"")</f>
        <v/>
      </c>
      <c r="AB165" s="379">
        <f>VLOOKUP(B165,門市主檔!A:B,2,FALSE)</f>
        <v/>
      </c>
      <c r="AC165" s="380" t="n"/>
      <c r="AD165" s="379" t="n"/>
      <c r="AE165" s="379" t="n"/>
      <c r="AF165" s="379" t="n"/>
      <c r="AG165" s="379" t="n"/>
      <c r="AH165" s="379" t="n"/>
    </row>
    <row r="166" hidden="1"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77">
        <f>IFERROR(LEFT(J166,FIND("縣",J166)),IFERROR(LEFT(J166,FIND("市",J166)),J166))</f>
        <v/>
      </c>
      <c r="V166" s="378">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78">
        <f>IFERROR(MID(J166,IFERROR(FIND("鄉",J166),IFERROR(FIND("鎮",J166),FIND("區",J166)))+1,LEN(J166)),IFERROR(MID(J166,FIND("市",J166)+1,LEN(J166)),MID(J166,FIND("縣",J166)+1,LEN(J166))))</f>
        <v/>
      </c>
      <c r="X166" s="3" t="inlineStr">
        <is>
          <t>新北一</t>
        </is>
      </c>
      <c r="Y166" s="3">
        <f>VLOOKUP(V166,門市狀態!G:H,2,FALSE)</f>
        <v/>
      </c>
      <c r="Z166" s="371">
        <f>IF(D166="FVC7", IF(COUNTIF(特殊門市清單!N:N, B166)=0, "FVC7", VLOOKUP(B166,特殊門市清單!N:T,7,FALSE)), IF(AA166="v","Peplink",""))</f>
        <v/>
      </c>
      <c r="AA166" s="371">
        <f>IFERROR(VLOOKUP(B166,門市狀態!A:D,4,FALSE),"")</f>
        <v/>
      </c>
      <c r="AB166" s="379">
        <f>VLOOKUP(B166,門市主檔!A:B,2,FALSE)</f>
        <v/>
      </c>
      <c r="AC166" s="380" t="n"/>
      <c r="AD166" s="379" t="n"/>
      <c r="AE166" s="379" t="n"/>
      <c r="AF166" s="379" t="n"/>
      <c r="AG166" s="379" t="n"/>
      <c r="AH166" s="379"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77">
        <f>IFERROR(LEFT(J167,FIND("縣",J167)),IFERROR(LEFT(J167,FIND("市",J167)),J167))</f>
        <v/>
      </c>
      <c r="V167" s="378">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78">
        <f>IFERROR(MID(J167,IFERROR(FIND("鄉",J167),IFERROR(FIND("鎮",J167),FIND("區",J167)))+1,LEN(J167)),IFERROR(MID(J167,FIND("市",J167)+1,LEN(J167)),MID(J167,FIND("縣",J167)+1,LEN(J167))))</f>
        <v/>
      </c>
      <c r="X167" s="3" t="inlineStr">
        <is>
          <t>新北一</t>
        </is>
      </c>
      <c r="Y167" s="3">
        <f>VLOOKUP(V167,門市狀態!G:H,2,FALSE)</f>
        <v/>
      </c>
      <c r="Z167" s="371">
        <f>IF(D167="FVC7", IF(COUNTIF(特殊門市清單!N:N, B167)=0, "FVC7", VLOOKUP(B167,特殊門市清單!N:T,7,FALSE)), IF(AA167="v","Peplink",""))</f>
        <v/>
      </c>
      <c r="AA167" s="371">
        <f>IFERROR(VLOOKUP(B167,門市狀態!A:D,4,FALSE),"")</f>
        <v/>
      </c>
      <c r="AB167" s="379">
        <f>VLOOKUP(B167,門市主檔!A:B,2,FALSE)</f>
        <v/>
      </c>
      <c r="AC167" s="380" t="n"/>
      <c r="AD167" s="379" t="n"/>
      <c r="AE167" s="379" t="n"/>
      <c r="AF167" s="379" t="inlineStr">
        <is>
          <t>EDC</t>
        </is>
      </c>
      <c r="AG167" s="379" t="n"/>
      <c r="AH167" s="379" t="inlineStr">
        <is>
          <t>TVV</t>
        </is>
      </c>
    </row>
    <row r="168" hidden="1"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77">
        <f>IFERROR(LEFT(J168,FIND("縣",J168)),IFERROR(LEFT(J168,FIND("市",J168)),J168))</f>
        <v/>
      </c>
      <c r="V168" s="378">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78">
        <f>IFERROR(MID(J168,IFERROR(FIND("鄉",J168),IFERROR(FIND("鎮",J168),FIND("區",J168)))+1,LEN(J168)),IFERROR(MID(J168,FIND("市",J168)+1,LEN(J168)),MID(J168,FIND("縣",J168)+1,LEN(J168))))</f>
        <v/>
      </c>
      <c r="X168" s="3" t="inlineStr">
        <is>
          <t>新北一</t>
        </is>
      </c>
      <c r="Y168" s="3">
        <f>VLOOKUP(V168,門市狀態!G:H,2,FALSE)</f>
        <v/>
      </c>
      <c r="Z168" s="371">
        <f>IF(D168="FVC7", IF(COUNTIF(特殊門市清單!N:N, B168)=0, "FVC7", VLOOKUP(B168,特殊門市清單!N:T,7,FALSE)), IF(AA168="v","Peplink",""))</f>
        <v/>
      </c>
      <c r="AA168" s="371">
        <f>IFERROR(VLOOKUP(B168,門市狀態!A:D,4,FALSE),"")</f>
        <v/>
      </c>
      <c r="AB168" s="379">
        <f>VLOOKUP(B168,門市主檔!A:B,2,FALSE)</f>
        <v/>
      </c>
      <c r="AC168" s="380" t="n"/>
      <c r="AD168" s="379" t="n"/>
      <c r="AE168" s="379" t="n"/>
      <c r="AF168" s="379" t="inlineStr">
        <is>
          <t>EDC</t>
        </is>
      </c>
      <c r="AG168" s="379" t="n"/>
      <c r="AH168" s="379" t="n"/>
    </row>
    <row r="169" hidden="1"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77">
        <f>IFERROR(LEFT(J169,FIND("縣",J169)),IFERROR(LEFT(J169,FIND("市",J169)),J169))</f>
        <v/>
      </c>
      <c r="V169" s="378">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78">
        <f>IFERROR(MID(J169,IFERROR(FIND("鄉",J169),IFERROR(FIND("鎮",J169),FIND("區",J169)))+1,LEN(J169)),IFERROR(MID(J169,FIND("市",J169)+1,LEN(J169)),MID(J169,FIND("縣",J169)+1,LEN(J169))))</f>
        <v/>
      </c>
      <c r="X169" s="3" t="inlineStr">
        <is>
          <t>新北一</t>
        </is>
      </c>
      <c r="Y169" s="3">
        <f>VLOOKUP(V169,門市狀態!G:H,2,FALSE)</f>
        <v/>
      </c>
      <c r="Z169" s="371">
        <f>IF(D169="FVC7", IF(COUNTIF(特殊門市清單!N:N, B169)=0, "FVC7", VLOOKUP(B169,特殊門市清單!N:T,7,FALSE)), IF(AA169="v","Peplink",""))</f>
        <v/>
      </c>
      <c r="AA169" s="371">
        <f>IFERROR(VLOOKUP(B169,門市狀態!A:D,4,FALSE),"")</f>
        <v/>
      </c>
      <c r="AB169" s="379">
        <f>VLOOKUP(B169,門市主檔!A:B,2,FALSE)</f>
        <v/>
      </c>
      <c r="AC169" s="380" t="n"/>
      <c r="AD169" s="379" t="n"/>
      <c r="AE169" s="379" t="n"/>
      <c r="AF169" s="379" t="inlineStr">
        <is>
          <t>EDC</t>
        </is>
      </c>
      <c r="AG169" s="379" t="n"/>
      <c r="AH169" s="379"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77">
        <f>IFERROR(LEFT(J170,FIND("縣",J170)),IFERROR(LEFT(J170,FIND("市",J170)),J170))</f>
        <v/>
      </c>
      <c r="V170" s="378">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78">
        <f>IFERROR(MID(J170,IFERROR(FIND("鄉",J170),IFERROR(FIND("鎮",J170),FIND("區",J170)))+1,LEN(J170)),IFERROR(MID(J170,FIND("市",J170)+1,LEN(J170)),MID(J170,FIND("縣",J170)+1,LEN(J170))))</f>
        <v/>
      </c>
      <c r="X170" s="3" t="inlineStr">
        <is>
          <t>新北一</t>
        </is>
      </c>
      <c r="Y170" s="3">
        <f>VLOOKUP(V170,門市狀態!G:H,2,FALSE)</f>
        <v/>
      </c>
      <c r="Z170" s="371">
        <f>IF(D170="FVC7", IF(COUNTIF(特殊門市清單!N:N, B170)=0, "FVC7", VLOOKUP(B170,特殊門市清單!N:T,7,FALSE)), IF(AA170="v","Peplink",""))</f>
        <v/>
      </c>
      <c r="AA170" s="371">
        <f>IFERROR(VLOOKUP(B170,門市狀態!A:D,4,FALSE),"")</f>
        <v/>
      </c>
      <c r="AB170" s="379">
        <f>VLOOKUP(B170,門市主檔!A:B,2,FALSE)</f>
        <v/>
      </c>
      <c r="AC170" s="380" t="n"/>
      <c r="AD170" s="379" t="n"/>
      <c r="AE170" s="379" t="n"/>
      <c r="AF170" s="379" t="inlineStr">
        <is>
          <t>EDC</t>
        </is>
      </c>
      <c r="AG170" s="379" t="n"/>
      <c r="AH170" s="379" t="inlineStr">
        <is>
          <t>TVV</t>
        </is>
      </c>
    </row>
    <row r="171" hidden="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77">
        <f>IFERROR(LEFT(J171,FIND("縣",J171)),IFERROR(LEFT(J171,FIND("市",J171)),J171))</f>
        <v/>
      </c>
      <c r="V171" s="378">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78">
        <f>IFERROR(MID(J171,IFERROR(FIND("鄉",J171),IFERROR(FIND("鎮",J171),FIND("區",J171)))+1,LEN(J171)),IFERROR(MID(J171,FIND("市",J171)+1,LEN(J171)),MID(J171,FIND("縣",J171)+1,LEN(J171))))</f>
        <v/>
      </c>
      <c r="X171" s="3" t="inlineStr">
        <is>
          <t>新北一</t>
        </is>
      </c>
      <c r="Y171" s="3">
        <f>VLOOKUP(V171,門市狀態!G:H,2,FALSE)</f>
        <v/>
      </c>
      <c r="Z171" s="371">
        <f>IF(D171="FVC7", IF(COUNTIF(特殊門市清單!N:N, B171)=0, "FVC7", VLOOKUP(B171,特殊門市清單!N:T,7,FALSE)), IF(AA171="v","Peplink",""))</f>
        <v/>
      </c>
      <c r="AA171" s="371">
        <f>IFERROR(VLOOKUP(B171,門市狀態!A:D,4,FALSE),"")</f>
        <v/>
      </c>
      <c r="AB171" s="379">
        <f>VLOOKUP(B171,門市主檔!A:B,2,FALSE)</f>
        <v/>
      </c>
      <c r="AC171" s="380" t="n"/>
      <c r="AD171" s="379" t="n"/>
      <c r="AE171" s="379" t="n"/>
      <c r="AF171" s="379" t="inlineStr">
        <is>
          <t>EDC</t>
        </is>
      </c>
      <c r="AG171" s="379" t="n"/>
      <c r="AH171" s="379" t="n"/>
    </row>
    <row r="172" hidden="1"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77">
        <f>IFERROR(LEFT(J172,FIND("縣",J172)),IFERROR(LEFT(J172,FIND("市",J172)),J172))</f>
        <v/>
      </c>
      <c r="V172" s="378">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78">
        <f>IFERROR(MID(J172,IFERROR(FIND("鄉",J172),IFERROR(FIND("鎮",J172),FIND("區",J172)))+1,LEN(J172)),IFERROR(MID(J172,FIND("市",J172)+1,LEN(J172)),MID(J172,FIND("縣",J172)+1,LEN(J172))))</f>
        <v/>
      </c>
      <c r="X172" s="3" t="inlineStr">
        <is>
          <t>新北一</t>
        </is>
      </c>
      <c r="Y172" s="3">
        <f>VLOOKUP(V172,門市狀態!G:H,2,FALSE)</f>
        <v/>
      </c>
      <c r="Z172" s="371">
        <f>IF(D172="FVC7", IF(COUNTIF(特殊門市清單!N:N, B172)=0, "FVC7", VLOOKUP(B172,特殊門市清單!N:T,7,FALSE)), IF(AA172="v","Peplink",""))</f>
        <v/>
      </c>
      <c r="AA172" s="371">
        <f>IFERROR(VLOOKUP(B172,門市狀態!A:D,4,FALSE),"")</f>
        <v/>
      </c>
      <c r="AB172" s="379">
        <f>VLOOKUP(B172,門市主檔!A:B,2,FALSE)</f>
        <v/>
      </c>
      <c r="AC172" s="380" t="n"/>
      <c r="AD172" s="379" t="n"/>
      <c r="AE172" s="379" t="n"/>
      <c r="AF172" s="379" t="inlineStr">
        <is>
          <t>EDC</t>
        </is>
      </c>
      <c r="AG172" s="379" t="n"/>
      <c r="AH172" s="379" t="n"/>
    </row>
    <row r="173" hidden="1"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77">
        <f>IFERROR(LEFT(J173,FIND("縣",J173)),IFERROR(LEFT(J173,FIND("市",J173)),J173))</f>
        <v/>
      </c>
      <c r="V173" s="378">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78">
        <f>IFERROR(MID(J173,IFERROR(FIND("鄉",J173),IFERROR(FIND("鎮",J173),FIND("區",J173)))+1,LEN(J173)),IFERROR(MID(J173,FIND("市",J173)+1,LEN(J173)),MID(J173,FIND("縣",J173)+1,LEN(J173))))</f>
        <v/>
      </c>
      <c r="X173" s="3" t="inlineStr">
        <is>
          <t>新北一</t>
        </is>
      </c>
      <c r="Y173" s="3">
        <f>VLOOKUP(V173,門市狀態!G:H,2,FALSE)</f>
        <v/>
      </c>
      <c r="Z173" s="371">
        <f>IF(D173="FVC7", IF(COUNTIF(特殊門市清單!N:N, B173)=0, "FVC7", VLOOKUP(B173,特殊門市清單!N:T,7,FALSE)), IF(AA173="v","Peplink",""))</f>
        <v/>
      </c>
      <c r="AA173" s="371">
        <f>IFERROR(VLOOKUP(B173,門市狀態!A:D,4,FALSE),"")</f>
        <v/>
      </c>
      <c r="AB173" s="379">
        <f>VLOOKUP(B173,門市主檔!A:B,2,FALSE)</f>
        <v/>
      </c>
      <c r="AC173" s="380" t="n"/>
      <c r="AD173" s="379" t="n"/>
      <c r="AE173" s="379" t="n"/>
      <c r="AF173" s="379" t="inlineStr">
        <is>
          <t>EDC</t>
        </is>
      </c>
      <c r="AG173" s="379" t="n"/>
      <c r="AH173" s="379"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77">
        <f>IFERROR(LEFT(J174,FIND("縣",J174)),IFERROR(LEFT(J174,FIND("市",J174)),J174))</f>
        <v/>
      </c>
      <c r="V174" s="378">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78">
        <f>IFERROR(MID(J174,IFERROR(FIND("鄉",J174),IFERROR(FIND("鎮",J174),FIND("區",J174)))+1,LEN(J174)),IFERROR(MID(J174,FIND("市",J174)+1,LEN(J174)),MID(J174,FIND("縣",J174)+1,LEN(J174))))</f>
        <v/>
      </c>
      <c r="X174" s="3" t="inlineStr">
        <is>
          <t>新北一</t>
        </is>
      </c>
      <c r="Y174" s="3">
        <f>VLOOKUP(V174,門市狀態!G:H,2,FALSE)</f>
        <v/>
      </c>
      <c r="Z174" s="371">
        <f>IF(D174="FVC7", IF(COUNTIF(特殊門市清單!N:N, B174)=0, "FVC7", VLOOKUP(B174,特殊門市清單!N:T,7,FALSE)), IF(AA174="v","Peplink",""))</f>
        <v/>
      </c>
      <c r="AA174" s="371">
        <f>IFERROR(VLOOKUP(B174,門市狀態!A:D,4,FALSE),"")</f>
        <v/>
      </c>
      <c r="AB174" s="379">
        <f>VLOOKUP(B174,門市主檔!A:B,2,FALSE)</f>
        <v/>
      </c>
      <c r="AC174" s="380" t="n"/>
      <c r="AD174" s="379" t="n"/>
      <c r="AE174" s="379" t="n"/>
      <c r="AF174" s="379" t="inlineStr">
        <is>
          <t>EDC</t>
        </is>
      </c>
      <c r="AG174" s="379" t="n"/>
      <c r="AH174" s="379" t="inlineStr">
        <is>
          <t>TVV</t>
        </is>
      </c>
    </row>
    <row r="175" hidden="1"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77">
        <f>IFERROR(LEFT(J175,FIND("縣",J175)),IFERROR(LEFT(J175,FIND("市",J175)),J175))</f>
        <v/>
      </c>
      <c r="V175" s="378">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78">
        <f>IFERROR(MID(J175,IFERROR(FIND("鄉",J175),IFERROR(FIND("鎮",J175),FIND("區",J175)))+1,LEN(J175)),IFERROR(MID(J175,FIND("市",J175)+1,LEN(J175)),MID(J175,FIND("縣",J175)+1,LEN(J175))))</f>
        <v/>
      </c>
      <c r="X175" s="3" t="inlineStr">
        <is>
          <t>新北一</t>
        </is>
      </c>
      <c r="Y175" s="3">
        <f>VLOOKUP(V175,門市狀態!G:H,2,FALSE)</f>
        <v/>
      </c>
      <c r="Z175" s="371">
        <f>IF(D175="FVC7", IF(COUNTIF(特殊門市清單!N:N, B175)=0, "FVC7", VLOOKUP(B175,特殊門市清單!N:T,7,FALSE)), IF(AA175="v","Peplink",""))</f>
        <v/>
      </c>
      <c r="AA175" s="371">
        <f>IFERROR(VLOOKUP(B175,門市狀態!A:D,4,FALSE),"")</f>
        <v/>
      </c>
      <c r="AB175" s="379">
        <f>VLOOKUP(B175,門市主檔!A:B,2,FALSE)</f>
        <v/>
      </c>
      <c r="AC175" s="380" t="n"/>
      <c r="AD175" s="379" t="n"/>
      <c r="AE175" s="379" t="n"/>
      <c r="AF175" s="379" t="inlineStr">
        <is>
          <t>EDC</t>
        </is>
      </c>
      <c r="AG175" s="379" t="n"/>
      <c r="AH175" s="379" t="n"/>
    </row>
    <row r="176" hidden="1"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77">
        <f>IFERROR(LEFT(J176,FIND("縣",J176)),IFERROR(LEFT(J176,FIND("市",J176)),J176))</f>
        <v/>
      </c>
      <c r="V176" s="378">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78">
        <f>IFERROR(MID(J176,IFERROR(FIND("鄉",J176),IFERROR(FIND("鎮",J176),FIND("區",J176)))+1,LEN(J176)),IFERROR(MID(J176,FIND("市",J176)+1,LEN(J176)),MID(J176,FIND("縣",J176)+1,LEN(J176))))</f>
        <v/>
      </c>
      <c r="X176" s="3" t="inlineStr">
        <is>
          <t>新北一</t>
        </is>
      </c>
      <c r="Y176" s="3">
        <f>VLOOKUP(V176,門市狀態!G:H,2,FALSE)</f>
        <v/>
      </c>
      <c r="Z176" s="371">
        <f>IF(D176="FVC7", IF(COUNTIF(特殊門市清單!N:N, B176)=0, "FVC7", VLOOKUP(B176,特殊門市清單!N:T,7,FALSE)), IF(AA176="v","Peplink",""))</f>
        <v/>
      </c>
      <c r="AA176" s="371">
        <f>IFERROR(VLOOKUP(B176,門市狀態!A:D,4,FALSE),"")</f>
        <v/>
      </c>
      <c r="AB176" s="379">
        <f>VLOOKUP(B176,門市主檔!A:B,2,FALSE)</f>
        <v/>
      </c>
      <c r="AC176" s="380" t="n"/>
      <c r="AD176" s="379" t="n"/>
      <c r="AE176" s="379" t="n"/>
      <c r="AF176" s="379" t="inlineStr">
        <is>
          <t>EDC</t>
        </is>
      </c>
      <c r="AG176" s="379" t="n"/>
      <c r="AH176" s="379" t="n"/>
    </row>
    <row r="177" hidden="1"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77">
        <f>IFERROR(LEFT(J177,FIND("縣",J177)),IFERROR(LEFT(J177,FIND("市",J177)),J177))</f>
        <v/>
      </c>
      <c r="V177" s="378">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78">
        <f>IFERROR(MID(J177,IFERROR(FIND("鄉",J177),IFERROR(FIND("鎮",J177),FIND("區",J177)))+1,LEN(J177)),IFERROR(MID(J177,FIND("市",J177)+1,LEN(J177)),MID(J177,FIND("縣",J177)+1,LEN(J177))))</f>
        <v/>
      </c>
      <c r="X177" s="3" t="inlineStr">
        <is>
          <t>新北一</t>
        </is>
      </c>
      <c r="Y177" s="3">
        <f>VLOOKUP(V177,門市狀態!G:H,2,FALSE)</f>
        <v/>
      </c>
      <c r="Z177" s="371" t="inlineStr">
        <is>
          <t>學校</t>
        </is>
      </c>
      <c r="AA177" s="371">
        <f>IFERROR(VLOOKUP(B177,門市狀態!A:D,4,FALSE),"")</f>
        <v/>
      </c>
      <c r="AB177" s="379">
        <f>VLOOKUP(B177,門市主檔!A:B,2,FALSE)</f>
        <v/>
      </c>
      <c r="AC177" s="380" t="n"/>
      <c r="AD177" s="379" t="inlineStr">
        <is>
          <t>學校</t>
        </is>
      </c>
      <c r="AE177" s="379" t="inlineStr">
        <is>
          <t>機上盒</t>
        </is>
      </c>
      <c r="AF177" s="379" t="inlineStr">
        <is>
          <t>EDC</t>
        </is>
      </c>
      <c r="AG177" s="379" t="n"/>
      <c r="AH177" s="379" t="n"/>
    </row>
    <row r="178" hidden="1"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77">
        <f>IFERROR(LEFT(J178,FIND("縣",J178)),IFERROR(LEFT(J178,FIND("市",J178)),J178))</f>
        <v/>
      </c>
      <c r="V178" s="378">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78">
        <f>IFERROR(MID(J178,IFERROR(FIND("鄉",J178),IFERROR(FIND("鎮",J178),FIND("區",J178)))+1,LEN(J178)),IFERROR(MID(J178,FIND("市",J178)+1,LEN(J178)),MID(J178,FIND("縣",J178)+1,LEN(J178))))</f>
        <v/>
      </c>
      <c r="X178" s="3" t="inlineStr">
        <is>
          <t>新北一</t>
        </is>
      </c>
      <c r="Y178" s="3">
        <f>VLOOKUP(V178,門市狀態!G:H,2,FALSE)</f>
        <v/>
      </c>
      <c r="Z178" s="371">
        <f>IF(D178="FVC7", IF(COUNTIF(特殊門市清單!N:N, B178)=0, "FVC7", VLOOKUP(B178,特殊門市清單!N:T,7,FALSE)), IF(AA178="v","Peplink",""))</f>
        <v/>
      </c>
      <c r="AA178" s="371">
        <f>IFERROR(VLOOKUP(B178,門市狀態!A:D,4,FALSE),"")</f>
        <v/>
      </c>
      <c r="AB178" s="379">
        <f>VLOOKUP(B178,門市主檔!A:B,2,FALSE)</f>
        <v/>
      </c>
      <c r="AC178" s="380" t="n"/>
      <c r="AD178" s="379" t="n"/>
      <c r="AE178" s="379" t="n"/>
      <c r="AF178" s="379" t="inlineStr">
        <is>
          <t>EDC</t>
        </is>
      </c>
      <c r="AG178" s="379" t="n"/>
      <c r="AH178" s="379" t="n"/>
    </row>
    <row r="179" hidden="1"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77">
        <f>IFERROR(LEFT(J179,FIND("縣",J179)),IFERROR(LEFT(J179,FIND("市",J179)),J179))</f>
        <v/>
      </c>
      <c r="V179" s="378">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78">
        <f>IFERROR(MID(J179,IFERROR(FIND("鄉",J179),IFERROR(FIND("鎮",J179),FIND("區",J179)))+1,LEN(J179)),IFERROR(MID(J179,FIND("市",J179)+1,LEN(J179)),MID(J179,FIND("縣",J179)+1,LEN(J179))))</f>
        <v/>
      </c>
      <c r="X179" s="3" t="inlineStr">
        <is>
          <t>新北一</t>
        </is>
      </c>
      <c r="Y179" s="3">
        <f>VLOOKUP(V179,門市狀態!G:H,2,FALSE)</f>
        <v/>
      </c>
      <c r="Z179" s="371">
        <f>IF(D179="FVC7", IF(COUNTIF(特殊門市清單!N:N, B179)=0, "FVC7", VLOOKUP(B179,特殊門市清單!N:T,7,FALSE)), IF(AA179="v","Peplink",""))</f>
        <v/>
      </c>
      <c r="AA179" s="371">
        <f>IFERROR(VLOOKUP(B179,門市狀態!A:D,4,FALSE),"")</f>
        <v/>
      </c>
      <c r="AB179" s="379">
        <f>VLOOKUP(B179,門市主檔!A:B,2,FALSE)</f>
        <v/>
      </c>
      <c r="AC179" s="380" t="n"/>
      <c r="AD179" s="379" t="n"/>
      <c r="AE179" s="379" t="n"/>
      <c r="AF179" s="379" t="inlineStr">
        <is>
          <t>EDC</t>
        </is>
      </c>
      <c r="AG179" s="379" t="n"/>
      <c r="AH179" s="379" t="n"/>
    </row>
    <row r="180" hidden="1" ht="21.6" customHeight="1" s="105">
      <c r="A180" s="3" t="n">
        <v>179</v>
      </c>
      <c r="B180" s="3" t="n">
        <v>3851</v>
      </c>
      <c r="C180" s="5" t="inlineStr">
        <is>
          <t>新莊輔園店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77">
        <f>IFERROR(LEFT(J180,FIND("縣",J180)),IFERROR(LEFT(J180,FIND("市",J180)),J180))</f>
        <v/>
      </c>
      <c r="V180" s="378">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78">
        <f>IFERROR(MID(J180,IFERROR(FIND("鄉",J180),IFERROR(FIND("鎮",J180),FIND("區",J180)))+1,LEN(J180)),IFERROR(MID(J180,FIND("市",J180)+1,LEN(J180)),MID(J180,FIND("縣",J180)+1,LEN(J180))))</f>
        <v/>
      </c>
      <c r="X180" s="3" t="inlineStr">
        <is>
          <t>新北一</t>
        </is>
      </c>
      <c r="Y180" s="3">
        <f>VLOOKUP(V180,門市狀態!G:H,2,FALSE)</f>
        <v/>
      </c>
      <c r="Z180" s="371" t="inlineStr">
        <is>
          <t>學校</t>
        </is>
      </c>
      <c r="AA180" s="371">
        <f>IFERROR(VLOOKUP(B180,門市狀態!A:D,4,FALSE),"")</f>
        <v/>
      </c>
      <c r="AB180" s="379">
        <f>VLOOKUP(B180,門市主檔!A:B,2,FALSE)</f>
        <v/>
      </c>
      <c r="AC180" s="380" t="n"/>
      <c r="AD180" s="379" t="inlineStr">
        <is>
          <t>學校</t>
        </is>
      </c>
      <c r="AE180" s="379" t="n"/>
      <c r="AF180" s="379" t="inlineStr">
        <is>
          <t>EDC</t>
        </is>
      </c>
      <c r="AG180" s="379" t="n"/>
      <c r="AH180" s="379" t="inlineStr">
        <is>
          <t>TVV</t>
        </is>
      </c>
    </row>
    <row r="181" hidden="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77">
        <f>IFERROR(LEFT(J181,FIND("縣",J181)),IFERROR(LEFT(J181,FIND("市",J181)),J181))</f>
        <v/>
      </c>
      <c r="V181" s="378">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78">
        <f>IFERROR(MID(J181,IFERROR(FIND("鄉",J181),IFERROR(FIND("鎮",J181),FIND("區",J181)))+1,LEN(J181)),IFERROR(MID(J181,FIND("市",J181)+1,LEN(J181)),MID(J181,FIND("縣",J181)+1,LEN(J181))))</f>
        <v/>
      </c>
      <c r="X181" s="3" t="inlineStr">
        <is>
          <t>新北一</t>
        </is>
      </c>
      <c r="Y181" s="3">
        <f>VLOOKUP(V181,門市狀態!G:H,2,FALSE)</f>
        <v/>
      </c>
      <c r="Z181" s="371">
        <f>IF(D181="FVC7", IF(COUNTIF(特殊門市清單!N:N, B181)=0, "FVC7", VLOOKUP(B181,特殊門市清單!N:T,7,FALSE)), IF(AA181="v","Peplink",""))</f>
        <v/>
      </c>
      <c r="AA181" s="371">
        <f>IFERROR(VLOOKUP(B181,門市狀態!A:D,4,FALSE),"")</f>
        <v/>
      </c>
      <c r="AB181" s="379">
        <f>VLOOKUP(B181,門市主檔!A:B,2,FALSE)</f>
        <v/>
      </c>
      <c r="AC181" s="380" t="n"/>
      <c r="AD181" s="379" t="n"/>
      <c r="AE181" s="379" t="n"/>
      <c r="AF181" s="379" t="n"/>
      <c r="AG181" s="379" t="n"/>
      <c r="AH181" s="379" t="n"/>
    </row>
    <row r="182" hidden="1"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77">
        <f>IFERROR(LEFT(J182,FIND("縣",J182)),IFERROR(LEFT(J182,FIND("市",J182)),J182))</f>
        <v/>
      </c>
      <c r="V182" s="378">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78">
        <f>IFERROR(MID(J182,IFERROR(FIND("鄉",J182),IFERROR(FIND("鎮",J182),FIND("區",J182)))+1,LEN(J182)),IFERROR(MID(J182,FIND("市",J182)+1,LEN(J182)),MID(J182,FIND("縣",J182)+1,LEN(J182))))</f>
        <v/>
      </c>
      <c r="X182" s="3" t="inlineStr">
        <is>
          <t>新北一</t>
        </is>
      </c>
      <c r="Y182" s="3">
        <f>VLOOKUP(V182,門市狀態!G:H,2,FALSE)</f>
        <v/>
      </c>
      <c r="Z182" s="371">
        <f>IF(D182="FVC7", IF(COUNTIF(特殊門市清單!N:N, B182)=0, "FVC7", VLOOKUP(B182,特殊門市清單!N:T,7,FALSE)), IF(AA182="v","Peplink",""))</f>
        <v/>
      </c>
      <c r="AA182" s="371">
        <f>IFERROR(VLOOKUP(B182,門市狀態!A:D,4,FALSE),"")</f>
        <v/>
      </c>
      <c r="AB182" s="379">
        <f>VLOOKUP(B182,門市主檔!A:B,2,FALSE)</f>
        <v/>
      </c>
      <c r="AC182" s="380" t="n"/>
      <c r="AD182" s="379" t="n"/>
      <c r="AE182" s="379" t="n"/>
      <c r="AF182" s="379" t="n"/>
      <c r="AG182" s="379" t="n"/>
      <c r="AH182" s="379" t="n"/>
    </row>
    <row r="183" hidden="1"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77">
        <f>IFERROR(LEFT(J183,FIND("縣",J183)),IFERROR(LEFT(J183,FIND("市",J183)),J183))</f>
        <v/>
      </c>
      <c r="V183" s="378">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78">
        <f>IFERROR(MID(J183,IFERROR(FIND("鄉",J183),IFERROR(FIND("鎮",J183),FIND("區",J183)))+1,LEN(J183)),IFERROR(MID(J183,FIND("市",J183)+1,LEN(J183)),MID(J183,FIND("縣",J183)+1,LEN(J183))))</f>
        <v/>
      </c>
      <c r="X183" s="3" t="inlineStr">
        <is>
          <t>新北一</t>
        </is>
      </c>
      <c r="Y183" s="3">
        <f>VLOOKUP(V183,門市狀態!G:H,2,FALSE)</f>
        <v/>
      </c>
      <c r="Z183" s="371">
        <f>IF(D183="FVC7", IF(COUNTIF(特殊門市清單!N:N, B183)=0, "FVC7", VLOOKUP(B183,特殊門市清單!N:T,7,FALSE)), IF(AA183="v","Peplink",""))</f>
        <v/>
      </c>
      <c r="AA183" s="371">
        <f>IFERROR(VLOOKUP(B183,門市狀態!A:D,4,FALSE),"")</f>
        <v/>
      </c>
      <c r="AB183" s="379">
        <f>VLOOKUP(B183,門市主檔!A:B,2,FALSE)</f>
        <v/>
      </c>
      <c r="AC183" s="380" t="n"/>
      <c r="AD183" s="379" t="n"/>
      <c r="AE183" s="379" t="n"/>
      <c r="AF183" s="379" t="n"/>
      <c r="AG183" s="379" t="n"/>
      <c r="AH183" s="379" t="n"/>
    </row>
    <row r="184" hidden="1"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77">
        <f>IFERROR(LEFT(J184,FIND("縣",J184)),IFERROR(LEFT(J184,FIND("市",J184)),J184))</f>
        <v/>
      </c>
      <c r="V184" s="378">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78">
        <f>IFERROR(MID(J184,IFERROR(FIND("鄉",J184),IFERROR(FIND("鎮",J184),FIND("區",J184)))+1,LEN(J184)),IFERROR(MID(J184,FIND("市",J184)+1,LEN(J184)),MID(J184,FIND("縣",J184)+1,LEN(J184))))</f>
        <v/>
      </c>
      <c r="X184" s="3" t="inlineStr">
        <is>
          <t>新北一</t>
        </is>
      </c>
      <c r="Y184" s="3">
        <f>VLOOKUP(V184,門市狀態!G:H,2,FALSE)</f>
        <v/>
      </c>
      <c r="Z184" s="371">
        <f>IF(D184="FVC7", IF(COUNTIF(特殊門市清單!N:N, B184)=0, "FVC7", VLOOKUP(B184,特殊門市清單!N:T,7,FALSE)), IF(AA184="v","Peplink",""))</f>
        <v/>
      </c>
      <c r="AA184" s="371">
        <f>IFERROR(VLOOKUP(B184,門市狀態!A:D,4,FALSE),"")</f>
        <v/>
      </c>
      <c r="AB184" s="379">
        <f>VLOOKUP(B184,門市主檔!A:B,2,FALSE)</f>
        <v/>
      </c>
      <c r="AC184" s="380" t="n"/>
      <c r="AD184" s="379" t="n"/>
      <c r="AE184" s="379" t="n"/>
      <c r="AF184" s="379" t="inlineStr">
        <is>
          <t>EDC</t>
        </is>
      </c>
      <c r="AG184" s="379" t="n"/>
      <c r="AH184" s="379" t="n"/>
    </row>
    <row r="185" hidden="1"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77">
        <f>IFERROR(LEFT(J185,FIND("縣",J185)),IFERROR(LEFT(J185,FIND("市",J185)),J185))</f>
        <v/>
      </c>
      <c r="V185" s="378">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78">
        <f>IFERROR(MID(J185,IFERROR(FIND("鄉",J185),IFERROR(FIND("鎮",J185),FIND("區",J185)))+1,LEN(J185)),IFERROR(MID(J185,FIND("市",J185)+1,LEN(J185)),MID(J185,FIND("縣",J185)+1,LEN(J185))))</f>
        <v/>
      </c>
      <c r="X185" s="3" t="inlineStr">
        <is>
          <t>新北一</t>
        </is>
      </c>
      <c r="Y185" s="3">
        <f>VLOOKUP(V185,門市狀態!G:H,2,FALSE)</f>
        <v/>
      </c>
      <c r="Z185" s="371">
        <f>IF(D185="FVC7", IF(COUNTIF(特殊門市清單!N:N, B185)=0, "FVC7", VLOOKUP(B185,特殊門市清單!N:T,7,FALSE)), IF(AA185="v","Peplink",""))</f>
        <v/>
      </c>
      <c r="AA185" s="371">
        <f>IFERROR(VLOOKUP(B185,門市狀態!A:D,4,FALSE),"")</f>
        <v/>
      </c>
      <c r="AB185" s="379">
        <f>VLOOKUP(B185,門市主檔!A:B,2,FALSE)</f>
        <v/>
      </c>
      <c r="AC185" s="380" t="n"/>
      <c r="AD185" s="379" t="n"/>
      <c r="AE185" s="379" t="n"/>
      <c r="AF185" s="379" t="inlineStr">
        <is>
          <t>EDC</t>
        </is>
      </c>
      <c r="AG185" s="379" t="n"/>
      <c r="AH185" s="379" t="n"/>
    </row>
    <row r="186" hidden="1"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77">
        <f>IFERROR(LEFT(J186,FIND("縣",J186)),IFERROR(LEFT(J186,FIND("市",J186)),J186))</f>
        <v/>
      </c>
      <c r="V186" s="378">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78">
        <f>IFERROR(MID(J186,IFERROR(FIND("鄉",J186),IFERROR(FIND("鎮",J186),FIND("區",J186)))+1,LEN(J186)),IFERROR(MID(J186,FIND("市",J186)+1,LEN(J186)),MID(J186,FIND("縣",J186)+1,LEN(J186))))</f>
        <v/>
      </c>
      <c r="X186" s="3" t="inlineStr">
        <is>
          <t>新北一</t>
        </is>
      </c>
      <c r="Y186" s="3">
        <f>VLOOKUP(V186,門市狀態!G:H,2,FALSE)</f>
        <v/>
      </c>
      <c r="Z186" s="371">
        <f>IF(D186="FVC7", IF(COUNTIF(特殊門市清單!N:N, B186)=0, "FVC7", VLOOKUP(B186,特殊門市清單!N:T,7,FALSE)), IF(AA186="v","Peplink",""))</f>
        <v/>
      </c>
      <c r="AA186" s="371">
        <f>IFERROR(VLOOKUP(B186,門市狀態!A:D,4,FALSE),"")</f>
        <v/>
      </c>
      <c r="AB186" s="379">
        <f>VLOOKUP(B186,門市主檔!A:B,2,FALSE)</f>
        <v/>
      </c>
      <c r="AC186" s="380" t="n"/>
      <c r="AD186" s="379" t="n"/>
      <c r="AE186" s="379" t="n"/>
      <c r="AF186" s="379" t="inlineStr">
        <is>
          <t>EDC</t>
        </is>
      </c>
      <c r="AG186" s="379" t="n"/>
      <c r="AH186" s="379" t="n"/>
    </row>
    <row r="187" hidden="1"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77">
        <f>IFERROR(LEFT(J187,FIND("縣",J187)),IFERROR(LEFT(J187,FIND("市",J187)),J187))</f>
        <v/>
      </c>
      <c r="V187" s="378">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78">
        <f>IFERROR(MID(J187,IFERROR(FIND("鄉",J187),IFERROR(FIND("鎮",J187),FIND("區",J187)))+1,LEN(J187)),IFERROR(MID(J187,FIND("市",J187)+1,LEN(J187)),MID(J187,FIND("縣",J187)+1,LEN(J187))))</f>
        <v/>
      </c>
      <c r="X187" s="3" t="inlineStr">
        <is>
          <t>新北一</t>
        </is>
      </c>
      <c r="Y187" s="3">
        <f>VLOOKUP(V187,門市狀態!G:H,2,FALSE)</f>
        <v/>
      </c>
      <c r="Z187" s="371">
        <f>IF(D187="FVC7", IF(COUNTIF(特殊門市清單!N:N, B187)=0, "FVC7", VLOOKUP(B187,特殊門市清單!N:T,7,FALSE)), IF(AA187="v","Peplink",""))</f>
        <v/>
      </c>
      <c r="AA187" s="371">
        <f>IFERROR(VLOOKUP(B187,門市狀態!A:D,4,FALSE),"")</f>
        <v/>
      </c>
      <c r="AB187" s="379">
        <f>VLOOKUP(B187,門市主檔!A:B,2,FALSE)</f>
        <v/>
      </c>
      <c r="AC187" s="380" t="n"/>
      <c r="AD187" s="379" t="n"/>
      <c r="AE187" s="379" t="n"/>
      <c r="AF187" s="379" t="inlineStr">
        <is>
          <t>EDC</t>
        </is>
      </c>
      <c r="AG187" s="379" t="n"/>
      <c r="AH187" s="379" t="n"/>
    </row>
    <row r="188" hidden="1"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77">
        <f>IFERROR(LEFT(J188,FIND("縣",J188)),IFERROR(LEFT(J188,FIND("市",J188)),J188))</f>
        <v/>
      </c>
      <c r="V188" s="378">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78">
        <f>IFERROR(MID(J188,IFERROR(FIND("鄉",J188),IFERROR(FIND("鎮",J188),FIND("區",J188)))+1,LEN(J188)),IFERROR(MID(J188,FIND("市",J188)+1,LEN(J188)),MID(J188,FIND("縣",J188)+1,LEN(J188))))</f>
        <v/>
      </c>
      <c r="X188" s="3" t="inlineStr">
        <is>
          <t>新北一</t>
        </is>
      </c>
      <c r="Y188" s="3">
        <f>VLOOKUP(V188,門市狀態!G:H,2,FALSE)</f>
        <v/>
      </c>
      <c r="Z188" s="371">
        <f>IF(D188="FVC7", IF(COUNTIF(特殊門市清單!N:N, B188)=0, "FVC7", VLOOKUP(B188,特殊門市清單!N:T,7,FALSE)), IF(AA188="v","Peplink",""))</f>
        <v/>
      </c>
      <c r="AA188" s="371">
        <f>IFERROR(VLOOKUP(B188,門市狀態!A:D,4,FALSE),"")</f>
        <v/>
      </c>
      <c r="AB188" s="379">
        <f>VLOOKUP(B188,門市主檔!A:B,2,FALSE)</f>
        <v/>
      </c>
      <c r="AC188" s="380" t="n"/>
      <c r="AD188" s="379" t="n"/>
      <c r="AE188" s="379" t="n"/>
      <c r="AF188" s="379" t="inlineStr">
        <is>
          <t>EDC</t>
        </is>
      </c>
      <c r="AG188" s="379" t="n"/>
      <c r="AH188" s="379" t="n"/>
    </row>
    <row r="189" hidden="1"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77">
        <f>IFERROR(LEFT(J189,FIND("縣",J189)),IFERROR(LEFT(J189,FIND("市",J189)),J189))</f>
        <v/>
      </c>
      <c r="V189" s="378">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78">
        <f>IFERROR(MID(J189,IFERROR(FIND("鄉",J189),IFERROR(FIND("鎮",J189),FIND("區",J189)))+1,LEN(J189)),IFERROR(MID(J189,FIND("市",J189)+1,LEN(J189)),MID(J189,FIND("縣",J189)+1,LEN(J189))))</f>
        <v/>
      </c>
      <c r="X189" s="3" t="inlineStr">
        <is>
          <t>新北一</t>
        </is>
      </c>
      <c r="Y189" s="3">
        <f>VLOOKUP(V189,門市狀態!G:H,2,FALSE)</f>
        <v/>
      </c>
      <c r="Z189" s="371">
        <f>IF(D189="FVC7", IF(COUNTIF(特殊門市清單!N:N, B189)=0, "FVC7", VLOOKUP(B189,特殊門市清單!N:T,7,FALSE)), IF(AA189="v","Peplink",""))</f>
        <v/>
      </c>
      <c r="AA189" s="371">
        <f>IFERROR(VLOOKUP(B189,門市狀態!A:D,4,FALSE),"")</f>
        <v/>
      </c>
      <c r="AB189" s="379">
        <f>VLOOKUP(B189,門市主檔!A:B,2,FALSE)</f>
        <v/>
      </c>
      <c r="AC189" s="380" t="n"/>
      <c r="AD189" s="379" t="n"/>
      <c r="AE189" s="379" t="n"/>
      <c r="AF189" s="379" t="inlineStr">
        <is>
          <t>EDC</t>
        </is>
      </c>
      <c r="AG189" s="379" t="n"/>
      <c r="AH189" s="379" t="n"/>
    </row>
    <row r="190" hidden="1"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77">
        <f>IFERROR(LEFT(J190,FIND("縣",J190)),IFERROR(LEFT(J190,FIND("市",J190)),J190))</f>
        <v/>
      </c>
      <c r="V190" s="378">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78">
        <f>IFERROR(MID(J190,IFERROR(FIND("鄉",J190),IFERROR(FIND("鎮",J190),FIND("區",J190)))+1,LEN(J190)),IFERROR(MID(J190,FIND("市",J190)+1,LEN(J190)),MID(J190,FIND("縣",J190)+1,LEN(J190))))</f>
        <v/>
      </c>
      <c r="X190" s="3" t="inlineStr">
        <is>
          <t>新北一</t>
        </is>
      </c>
      <c r="Y190" s="3">
        <f>VLOOKUP(V190,門市狀態!G:H,2,FALSE)</f>
        <v/>
      </c>
      <c r="Z190" s="371">
        <f>IF(D190="FVC7", IF(COUNTIF(特殊門市清單!N:N, B190)=0, "FVC7", VLOOKUP(B190,特殊門市清單!N:T,7,FALSE)), IF(AA190="v","Peplink",""))</f>
        <v/>
      </c>
      <c r="AA190" s="371">
        <f>IFERROR(VLOOKUP(B190,門市狀態!A:D,4,FALSE),"")</f>
        <v/>
      </c>
      <c r="AB190" s="379">
        <f>VLOOKUP(B190,門市主檔!A:B,2,FALSE)</f>
        <v/>
      </c>
      <c r="AC190" s="380" t="n"/>
      <c r="AD190" s="379" t="n"/>
      <c r="AE190" s="379" t="n"/>
      <c r="AF190" s="379" t="inlineStr">
        <is>
          <t>EDC</t>
        </is>
      </c>
      <c r="AG190" s="379" t="n"/>
      <c r="AH190" s="379" t="n"/>
    </row>
    <row r="191" hidden="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77">
        <f>IFERROR(LEFT(J191,FIND("縣",J191)),IFERROR(LEFT(J191,FIND("市",J191)),J191))</f>
        <v/>
      </c>
      <c r="V191" s="378">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78">
        <f>IFERROR(MID(J191,IFERROR(FIND("鄉",J191),IFERROR(FIND("鎮",J191),FIND("區",J191)))+1,LEN(J191)),IFERROR(MID(J191,FIND("市",J191)+1,LEN(J191)),MID(J191,FIND("縣",J191)+1,LEN(J191))))</f>
        <v/>
      </c>
      <c r="X191" s="3" t="inlineStr">
        <is>
          <t>新北一</t>
        </is>
      </c>
      <c r="Y191" s="3">
        <f>VLOOKUP(V191,門市狀態!G:H,2,FALSE)</f>
        <v/>
      </c>
      <c r="Z191" s="371">
        <f>IF(D191="FVC7", IF(COUNTIF(特殊門市清單!N:N, B191)=0, "FVC7", VLOOKUP(B191,特殊門市清單!N:T,7,FALSE)), IF(AA191="v","Peplink",""))</f>
        <v/>
      </c>
      <c r="AA191" s="371">
        <f>IFERROR(VLOOKUP(B191,門市狀態!A:D,4,FALSE),"")</f>
        <v/>
      </c>
      <c r="AB191" s="379">
        <f>VLOOKUP(B191,門市主檔!A:B,2,FALSE)</f>
        <v/>
      </c>
      <c r="AC191" s="380" t="n"/>
      <c r="AD191" s="379" t="n"/>
      <c r="AE191" s="379" t="n"/>
      <c r="AF191" s="379" t="inlineStr">
        <is>
          <t>EDC</t>
        </is>
      </c>
      <c r="AG191" s="379" t="n"/>
      <c r="AH191" s="379" t="n"/>
    </row>
    <row r="192" hidden="1"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77">
        <f>IFERROR(LEFT(J192,FIND("縣",J192)),IFERROR(LEFT(J192,FIND("市",J192)),J192))</f>
        <v/>
      </c>
      <c r="V192" s="378">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78">
        <f>IFERROR(MID(J192,IFERROR(FIND("鄉",J192),IFERROR(FIND("鎮",J192),FIND("區",J192)))+1,LEN(J192)),IFERROR(MID(J192,FIND("市",J192)+1,LEN(J192)),MID(J192,FIND("縣",J192)+1,LEN(J192))))</f>
        <v/>
      </c>
      <c r="X192" s="3" t="inlineStr">
        <is>
          <t>新北一</t>
        </is>
      </c>
      <c r="Y192" s="3">
        <f>VLOOKUP(V192,門市狀態!G:H,2,FALSE)</f>
        <v/>
      </c>
      <c r="Z192" s="371">
        <f>IF(D192="FVC7", IF(COUNTIF(特殊門市清單!N:N, B192)=0, "FVC7", VLOOKUP(B192,特殊門市清單!N:T,7,FALSE)), IF(AA192="v","Peplink",""))</f>
        <v/>
      </c>
      <c r="AA192" s="371">
        <f>IFERROR(VLOOKUP(B192,門市狀態!A:D,4,FALSE),"")</f>
        <v/>
      </c>
      <c r="AB192" s="379">
        <f>VLOOKUP(B192,門市主檔!A:B,2,FALSE)</f>
        <v/>
      </c>
      <c r="AC192" s="380" t="n"/>
      <c r="AD192" s="379" t="n"/>
      <c r="AE192" s="379" t="n"/>
      <c r="AF192" s="379" t="inlineStr">
        <is>
          <t>EDC</t>
        </is>
      </c>
      <c r="AG192" s="379" t="n"/>
      <c r="AH192" s="379" t="n"/>
    </row>
    <row r="193" hidden="1"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77">
        <f>IFERROR(LEFT(J193,FIND("縣",J193)),IFERROR(LEFT(J193,FIND("市",J193)),J193))</f>
        <v/>
      </c>
      <c r="V193" s="378">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78">
        <f>IFERROR(MID(J193,IFERROR(FIND("鄉",J193),IFERROR(FIND("鎮",J193),FIND("區",J193)))+1,LEN(J193)),IFERROR(MID(J193,FIND("市",J193)+1,LEN(J193)),MID(J193,FIND("縣",J193)+1,LEN(J193))))</f>
        <v/>
      </c>
      <c r="X193" s="3" t="inlineStr">
        <is>
          <t>新北一</t>
        </is>
      </c>
      <c r="Y193" s="3">
        <f>VLOOKUP(V193,門市狀態!G:H,2,FALSE)</f>
        <v/>
      </c>
      <c r="Z193" s="371">
        <f>IF(D193="FVC7", IF(COUNTIF(特殊門市清單!N:N, B193)=0, "FVC7", VLOOKUP(B193,特殊門市清單!N:T,7,FALSE)), IF(AA193="v","Peplink",""))</f>
        <v/>
      </c>
      <c r="AA193" s="371">
        <f>IFERROR(VLOOKUP(B193,門市狀態!A:D,4,FALSE),"")</f>
        <v/>
      </c>
      <c r="AB193" s="379">
        <f>VLOOKUP(B193,門市主檔!A:B,2,FALSE)</f>
        <v/>
      </c>
      <c r="AC193" s="380" t="n"/>
      <c r="AD193" s="379" t="n"/>
      <c r="AE193" s="379" t="inlineStr">
        <is>
          <t>機上盒</t>
        </is>
      </c>
      <c r="AF193" s="379" t="inlineStr">
        <is>
          <t>EDC</t>
        </is>
      </c>
      <c r="AG193" s="379" t="n"/>
      <c r="AH193" s="379" t="n"/>
    </row>
    <row r="194" hidden="1"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77">
        <f>IFERROR(LEFT(J194,FIND("縣",J194)),IFERROR(LEFT(J194,FIND("市",J194)),J194))</f>
        <v/>
      </c>
      <c r="V194" s="378">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78">
        <f>IFERROR(MID(J194,IFERROR(FIND("鄉",J194),IFERROR(FIND("鎮",J194),FIND("區",J194)))+1,LEN(J194)),IFERROR(MID(J194,FIND("市",J194)+1,LEN(J194)),MID(J194,FIND("縣",J194)+1,LEN(J194))))</f>
        <v/>
      </c>
      <c r="X194" s="3" t="inlineStr">
        <is>
          <t>新北一</t>
        </is>
      </c>
      <c r="Y194" s="3">
        <f>VLOOKUP(V194,門市狀態!G:H,2,FALSE)</f>
        <v/>
      </c>
      <c r="Z194" s="371">
        <f>IF(D194="FVC7", IF(COUNTIF(特殊門市清單!N:N, B194)=0, "FVC7", VLOOKUP(B194,特殊門市清單!N:T,7,FALSE)), IF(AA194="v","Peplink",""))</f>
        <v/>
      </c>
      <c r="AA194" s="371">
        <f>IFERROR(VLOOKUP(B194,門市狀態!A:D,4,FALSE),"")</f>
        <v/>
      </c>
      <c r="AB194" s="379">
        <f>VLOOKUP(B194,門市主檔!A:B,2,FALSE)</f>
        <v/>
      </c>
      <c r="AC194" s="380" t="n"/>
      <c r="AD194" s="379" t="n"/>
      <c r="AE194" s="379" t="n"/>
      <c r="AF194" s="379" t="inlineStr">
        <is>
          <t>EDC</t>
        </is>
      </c>
      <c r="AG194" s="379" t="n"/>
      <c r="AH194" s="379" t="n"/>
    </row>
    <row r="195" hidden="1"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77">
        <f>IFERROR(LEFT(J195,FIND("縣",J195)),IFERROR(LEFT(J195,FIND("市",J195)),J195))</f>
        <v/>
      </c>
      <c r="V195" s="378">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78">
        <f>IFERROR(MID(J195,IFERROR(FIND("鄉",J195),IFERROR(FIND("鎮",J195),FIND("區",J195)))+1,LEN(J195)),IFERROR(MID(J195,FIND("市",J195)+1,LEN(J195)),MID(J195,FIND("縣",J195)+1,LEN(J195))))</f>
        <v/>
      </c>
      <c r="X195" s="3" t="inlineStr">
        <is>
          <t>新北一</t>
        </is>
      </c>
      <c r="Y195" s="3">
        <f>VLOOKUP(V195,門市狀態!G:H,2,FALSE)</f>
        <v/>
      </c>
      <c r="Z195" s="371">
        <f>IF(D195="FVC7", IF(COUNTIF(特殊門市清單!N:N, B195)=0, "FVC7", VLOOKUP(B195,特殊門市清單!N:T,7,FALSE)), IF(AA195="v","Peplink",""))</f>
        <v/>
      </c>
      <c r="AA195" s="371">
        <f>IFERROR(VLOOKUP(B195,門市狀態!A:D,4,FALSE),"")</f>
        <v/>
      </c>
      <c r="AB195" s="379">
        <f>VLOOKUP(B195,門市主檔!A:B,2,FALSE)</f>
        <v/>
      </c>
      <c r="AC195" s="380" t="n"/>
      <c r="AD195" s="379" t="n"/>
      <c r="AE195" s="379" t="n"/>
      <c r="AF195" s="379" t="inlineStr">
        <is>
          <t>EDC</t>
        </is>
      </c>
      <c r="AG195" s="379" t="n"/>
      <c r="AH195" s="379" t="n"/>
    </row>
    <row r="196" hidden="1"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77">
        <f>IFERROR(LEFT(J196,FIND("縣",J196)),IFERROR(LEFT(J196,FIND("市",J196)),J196))</f>
        <v/>
      </c>
      <c r="V196" s="378">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78">
        <f>IFERROR(MID(J196,IFERROR(FIND("鄉",J196),IFERROR(FIND("鎮",J196),FIND("區",J196)))+1,LEN(J196)),IFERROR(MID(J196,FIND("市",J196)+1,LEN(J196)),MID(J196,FIND("縣",J196)+1,LEN(J196))))</f>
        <v/>
      </c>
      <c r="X196" s="3" t="inlineStr">
        <is>
          <t>新北一</t>
        </is>
      </c>
      <c r="Y196" s="3">
        <f>VLOOKUP(V196,門市狀態!G:H,2,FALSE)</f>
        <v/>
      </c>
      <c r="Z196" s="371">
        <f>IF(D196="FVC7", IF(COUNTIF(特殊門市清單!N:N, B196)=0, "FVC7", VLOOKUP(B196,特殊門市清單!N:T,7,FALSE)), IF(AA196="v","Peplink",""))</f>
        <v/>
      </c>
      <c r="AA196" s="371">
        <f>IFERROR(VLOOKUP(B196,門市狀態!A:D,4,FALSE),"")</f>
        <v/>
      </c>
      <c r="AB196" s="379">
        <f>VLOOKUP(B196,門市主檔!A:B,2,FALSE)</f>
        <v/>
      </c>
      <c r="AC196" s="380" t="n"/>
      <c r="AD196" s="379" t="n"/>
      <c r="AE196" s="379" t="n"/>
      <c r="AF196" s="379" t="inlineStr">
        <is>
          <t>EDC</t>
        </is>
      </c>
      <c r="AG196" s="379" t="n"/>
      <c r="AH196" s="379" t="n"/>
    </row>
    <row r="197" hidden="1"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77">
        <f>IFERROR(LEFT(J197,FIND("縣",J197)),IFERROR(LEFT(J197,FIND("市",J197)),J197))</f>
        <v/>
      </c>
      <c r="V197" s="378">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78">
        <f>IFERROR(MID(J197,IFERROR(FIND("鄉",J197),IFERROR(FIND("鎮",J197),FIND("區",J197)))+1,LEN(J197)),IFERROR(MID(J197,FIND("市",J197)+1,LEN(J197)),MID(J197,FIND("縣",J197)+1,LEN(J197))))</f>
        <v/>
      </c>
      <c r="X197" s="3" t="inlineStr">
        <is>
          <t>新北一</t>
        </is>
      </c>
      <c r="Y197" s="3">
        <f>VLOOKUP(V197,門市狀態!G:H,2,FALSE)</f>
        <v/>
      </c>
      <c r="Z197" s="371">
        <f>IF(D197="FVC7", IF(COUNTIF(特殊門市清單!N:N, B197)=0, "FVC7", VLOOKUP(B197,特殊門市清單!N:T,7,FALSE)), IF(AA197="v","Peplink",""))</f>
        <v/>
      </c>
      <c r="AA197" s="371">
        <f>IFERROR(VLOOKUP(B197,門市狀態!A:D,4,FALSE),"")</f>
        <v/>
      </c>
      <c r="AB197" s="379">
        <f>VLOOKUP(B197,門市主檔!A:B,2,FALSE)</f>
        <v/>
      </c>
      <c r="AC197" s="380" t="n"/>
      <c r="AD197" s="379" t="n"/>
      <c r="AE197" s="379" t="inlineStr">
        <is>
          <t>機上盒</t>
        </is>
      </c>
      <c r="AF197" s="379" t="inlineStr">
        <is>
          <t>EDC</t>
        </is>
      </c>
      <c r="AG197" s="379" t="n"/>
      <c r="AH197" s="379" t="n"/>
    </row>
    <row r="198" hidden="1"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77">
        <f>IFERROR(LEFT(J198,FIND("縣",J198)),IFERROR(LEFT(J198,FIND("市",J198)),J198))</f>
        <v/>
      </c>
      <c r="V198" s="378">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78">
        <f>IFERROR(MID(J198,IFERROR(FIND("鄉",J198),IFERROR(FIND("鎮",J198),FIND("區",J198)))+1,LEN(J198)),IFERROR(MID(J198,FIND("市",J198)+1,LEN(J198)),MID(J198,FIND("縣",J198)+1,LEN(J198))))</f>
        <v/>
      </c>
      <c r="X198" s="3" t="inlineStr">
        <is>
          <t>新北一</t>
        </is>
      </c>
      <c r="Y198" s="3">
        <f>VLOOKUP(V198,門市狀態!G:H,2,FALSE)</f>
        <v/>
      </c>
      <c r="Z198" s="371">
        <f>IF(D198="FVC7", IF(COUNTIF(特殊門市清單!N:N, B198)=0, "FVC7", VLOOKUP(B198,特殊門市清單!N:T,7,FALSE)), IF(AA198="v","Peplink",""))</f>
        <v/>
      </c>
      <c r="AA198" s="371">
        <f>IFERROR(VLOOKUP(B198,門市狀態!A:D,4,FALSE),"")</f>
        <v/>
      </c>
      <c r="AB198" s="379">
        <f>VLOOKUP(B198,門市主檔!A:B,2,FALSE)</f>
        <v/>
      </c>
      <c r="AC198" s="380" t="n"/>
      <c r="AD198" s="379" t="n"/>
      <c r="AE198" s="379" t="n"/>
      <c r="AF198" s="379" t="inlineStr">
        <is>
          <t>EDC</t>
        </is>
      </c>
      <c r="AG198" s="379" t="n"/>
      <c r="AH198" s="379" t="n"/>
    </row>
    <row r="199" hidden="1" ht="21.6" customHeight="1" s="105">
      <c r="A199" s="3" t="n">
        <v>198</v>
      </c>
      <c r="B199" s="3" t="n">
        <v>3652</v>
      </c>
      <c r="C199" s="5" t="inlineStr">
        <is>
          <t>新莊莊民店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77">
        <f>IFERROR(LEFT(J199,FIND("縣",J199)),IFERROR(LEFT(J199,FIND("市",J199)),J199))</f>
        <v/>
      </c>
      <c r="V199" s="378">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78">
        <f>IFERROR(MID(J199,IFERROR(FIND("鄉",J199),IFERROR(FIND("鎮",J199),FIND("區",J199)))+1,LEN(J199)),IFERROR(MID(J199,FIND("市",J199)+1,LEN(J199)),MID(J199,FIND("縣",J199)+1,LEN(J199))))</f>
        <v/>
      </c>
      <c r="X199" s="3" t="inlineStr">
        <is>
          <t>新北一</t>
        </is>
      </c>
      <c r="Y199" s="3">
        <f>VLOOKUP(V199,門市狀態!G:H,2,FALSE)</f>
        <v/>
      </c>
      <c r="Z199" s="371">
        <f>IF(D199="FVC7", IF(COUNTIF(特殊門市清單!N:N, B199)=0, "FVC7", VLOOKUP(B199,特殊門市清單!N:T,7,FALSE)), IF(AA199="v","Peplink",""))</f>
        <v/>
      </c>
      <c r="AA199" s="371">
        <f>IFERROR(VLOOKUP(B199,門市狀態!A:D,4,FALSE),"")</f>
        <v/>
      </c>
      <c r="AB199" s="379">
        <f>VLOOKUP(B199,門市主檔!A:B,2,FALSE)</f>
        <v/>
      </c>
      <c r="AC199" s="380" t="n"/>
      <c r="AD199" s="379" t="n"/>
      <c r="AE199" s="379" t="n"/>
      <c r="AF199" s="379" t="inlineStr">
        <is>
          <t>EDC</t>
        </is>
      </c>
      <c r="AG199" s="379" t="n"/>
      <c r="AH199" s="379" t="n"/>
    </row>
    <row r="200" hidden="1"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77">
        <f>IFERROR(LEFT(J200,FIND("縣",J200)),IFERROR(LEFT(J200,FIND("市",J200)),J200))</f>
        <v/>
      </c>
      <c r="V200" s="378">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78">
        <f>IFERROR(MID(J200,IFERROR(FIND("鄉",J200),IFERROR(FIND("鎮",J200),FIND("區",J200)))+1,LEN(J200)),IFERROR(MID(J200,FIND("市",J200)+1,LEN(J200)),MID(J200,FIND("縣",J200)+1,LEN(J200))))</f>
        <v/>
      </c>
      <c r="X200" s="3" t="inlineStr">
        <is>
          <t>新北一</t>
        </is>
      </c>
      <c r="Y200" s="3">
        <f>VLOOKUP(V200,門市狀態!G:H,2,FALSE)</f>
        <v/>
      </c>
      <c r="Z200" s="371">
        <f>IF(D200="FVC7", IF(COUNTIF(特殊門市清單!N:N, B200)=0, "FVC7", VLOOKUP(B200,特殊門市清單!N:T,7,FALSE)), IF(AA200="v","Peplink",""))</f>
        <v/>
      </c>
      <c r="AA200" s="371">
        <f>IFERROR(VLOOKUP(B200,門市狀態!A:D,4,FALSE),"")</f>
        <v/>
      </c>
      <c r="AB200" s="379">
        <f>VLOOKUP(B200,門市主檔!A:B,2,FALSE)</f>
        <v/>
      </c>
      <c r="AC200" s="380" t="n"/>
      <c r="AD200" s="379" t="n"/>
      <c r="AE200" s="379" t="n"/>
      <c r="AF200" s="379" t="inlineStr">
        <is>
          <t>EDC</t>
        </is>
      </c>
      <c r="AG200" s="379" t="n"/>
      <c r="AH200" s="379" t="n"/>
    </row>
    <row r="201" hidden="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77">
        <f>IFERROR(LEFT(J201,FIND("縣",J201)),IFERROR(LEFT(J201,FIND("市",J201)),J201))</f>
        <v/>
      </c>
      <c r="V201" s="378">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78">
        <f>IFERROR(MID(J201,IFERROR(FIND("鄉",J201),IFERROR(FIND("鎮",J201),FIND("區",J201)))+1,LEN(J201)),IFERROR(MID(J201,FIND("市",J201)+1,LEN(J201)),MID(J201,FIND("縣",J201)+1,LEN(J201))))</f>
        <v/>
      </c>
      <c r="X201" s="3" t="inlineStr">
        <is>
          <t>新北一</t>
        </is>
      </c>
      <c r="Y201" s="3">
        <f>VLOOKUP(V201,門市狀態!G:H,2,FALSE)</f>
        <v/>
      </c>
      <c r="Z201" s="371">
        <f>IF(D201="FVC7", IF(COUNTIF(特殊門市清單!N:N, B201)=0, "FVC7", VLOOKUP(B201,特殊門市清單!N:T,7,FALSE)), IF(AA201="v","Peplink",""))</f>
        <v/>
      </c>
      <c r="AA201" s="371">
        <f>IFERROR(VLOOKUP(B201,門市狀態!A:D,4,FALSE),"")</f>
        <v/>
      </c>
      <c r="AB201" s="379">
        <f>VLOOKUP(B201,門市主檔!A:B,2,FALSE)</f>
        <v/>
      </c>
      <c r="AC201" s="380" t="n"/>
      <c r="AD201" s="379" t="n"/>
      <c r="AE201" s="379" t="n"/>
      <c r="AF201" s="379" t="inlineStr">
        <is>
          <t>EDC</t>
        </is>
      </c>
      <c r="AG201" s="379" t="n"/>
      <c r="AH201" s="379" t="n"/>
    </row>
    <row r="202" hidden="1"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77">
        <f>IFERROR(LEFT(J202,FIND("縣",J202)),IFERROR(LEFT(J202,FIND("市",J202)),J202))</f>
        <v/>
      </c>
      <c r="V202" s="378">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78">
        <f>IFERROR(MID(J202,IFERROR(FIND("鄉",J202),IFERROR(FIND("鎮",J202),FIND("區",J202)))+1,LEN(J202)),IFERROR(MID(J202,FIND("市",J202)+1,LEN(J202)),MID(J202,FIND("縣",J202)+1,LEN(J202))))</f>
        <v/>
      </c>
      <c r="X202" s="3" t="inlineStr">
        <is>
          <t>新北一</t>
        </is>
      </c>
      <c r="Y202" s="3">
        <f>VLOOKUP(V202,門市狀態!G:H,2,FALSE)</f>
        <v/>
      </c>
      <c r="Z202" s="371">
        <f>IF(D202="FVC7", IF(COUNTIF(特殊門市清單!N:N, B202)=0, "FVC7", VLOOKUP(B202,特殊門市清單!N:T,7,FALSE)), IF(AA202="v","Peplink",""))</f>
        <v/>
      </c>
      <c r="AA202" s="371">
        <f>IFERROR(VLOOKUP(B202,門市狀態!A:D,4,FALSE),"")</f>
        <v/>
      </c>
      <c r="AB202" s="379">
        <f>VLOOKUP(B202,門市主檔!A:B,2,FALSE)</f>
        <v/>
      </c>
      <c r="AC202" s="380" t="n"/>
      <c r="AD202" s="379" t="n"/>
      <c r="AE202" s="379" t="n"/>
      <c r="AF202" s="379" t="inlineStr">
        <is>
          <t>EDC</t>
        </is>
      </c>
      <c r="AG202" s="379" t="n"/>
      <c r="AH202" s="379" t="n"/>
    </row>
    <row r="203" hidden="1"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77">
        <f>IFERROR(LEFT(J203,FIND("縣",J203)),IFERROR(LEFT(J203,FIND("市",J203)),J203))</f>
        <v/>
      </c>
      <c r="V203" s="378">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78">
        <f>IFERROR(MID(J203,IFERROR(FIND("鄉",J203),IFERROR(FIND("鎮",J203),FIND("區",J203)))+1,LEN(J203)),IFERROR(MID(J203,FIND("市",J203)+1,LEN(J203)),MID(J203,FIND("縣",J203)+1,LEN(J203))))</f>
        <v/>
      </c>
      <c r="X203" s="3" t="inlineStr">
        <is>
          <t>新北一</t>
        </is>
      </c>
      <c r="Y203" s="3">
        <f>VLOOKUP(V203,門市狀態!G:H,2,FALSE)</f>
        <v/>
      </c>
      <c r="Z203" s="371">
        <f>IF(D203="FVC7", IF(COUNTIF(特殊門市清單!N:N, B203)=0, "FVC7", VLOOKUP(B203,特殊門市清單!N:T,7,FALSE)), IF(AA203="v","Peplink",""))</f>
        <v/>
      </c>
      <c r="AA203" s="371">
        <f>IFERROR(VLOOKUP(B203,門市狀態!A:D,4,FALSE),"")</f>
        <v/>
      </c>
      <c r="AB203" s="379">
        <f>VLOOKUP(B203,門市主檔!A:B,2,FALSE)</f>
        <v/>
      </c>
      <c r="AC203" s="380" t="n"/>
      <c r="AD203" s="379" t="n"/>
      <c r="AE203" s="379" t="n"/>
      <c r="AF203" s="379" t="inlineStr">
        <is>
          <t>EDC</t>
        </is>
      </c>
      <c r="AG203" s="379" t="n"/>
      <c r="AH203" s="379" t="inlineStr">
        <is>
          <t>TVV</t>
        </is>
      </c>
    </row>
    <row r="204" hidden="1"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77">
        <f>IFERROR(LEFT(J204,FIND("縣",J204)),IFERROR(LEFT(J204,FIND("市",J204)),J204))</f>
        <v/>
      </c>
      <c r="V204" s="378">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78">
        <f>IFERROR(MID(J204,IFERROR(FIND("鄉",J204),IFERROR(FIND("鎮",J204),FIND("區",J204)))+1,LEN(J204)),IFERROR(MID(J204,FIND("市",J204)+1,LEN(J204)),MID(J204,FIND("縣",J204)+1,LEN(J204))))</f>
        <v/>
      </c>
      <c r="X204" s="3" t="inlineStr">
        <is>
          <t>新北一</t>
        </is>
      </c>
      <c r="Y204" s="3">
        <f>VLOOKUP(V204,門市狀態!G:H,2,FALSE)</f>
        <v/>
      </c>
      <c r="Z204" s="371">
        <f>IF(D204="FVC7", IF(COUNTIF(特殊門市清單!N:N, B204)=0, "FVC7", VLOOKUP(B204,特殊門市清單!N:T,7,FALSE)), IF(AA204="v","Peplink",""))</f>
        <v/>
      </c>
      <c r="AA204" s="371">
        <f>IFERROR(VLOOKUP(B204,門市狀態!A:D,4,FALSE),"")</f>
        <v/>
      </c>
      <c r="AB204" s="379">
        <f>VLOOKUP(B204,門市主檔!A:B,2,FALSE)</f>
        <v/>
      </c>
      <c r="AC204" s="380" t="n"/>
      <c r="AD204" s="379" t="n"/>
      <c r="AE204" s="379" t="n"/>
      <c r="AF204" s="379" t="inlineStr">
        <is>
          <t>EDC</t>
        </is>
      </c>
      <c r="AG204" s="379" t="n"/>
      <c r="AH204" s="379" t="inlineStr">
        <is>
          <t>TVV</t>
        </is>
      </c>
    </row>
    <row r="205" hidden="1"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77">
        <f>IFERROR(LEFT(J205,FIND("縣",J205)),IFERROR(LEFT(J205,FIND("市",J205)),J205))</f>
        <v/>
      </c>
      <c r="V205" s="378">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78">
        <f>IFERROR(MID(J205,IFERROR(FIND("鄉",J205),IFERROR(FIND("鎮",J205),FIND("區",J205)))+1,LEN(J205)),IFERROR(MID(J205,FIND("市",J205)+1,LEN(J205)),MID(J205,FIND("縣",J205)+1,LEN(J205))))</f>
        <v/>
      </c>
      <c r="X205" s="3" t="inlineStr">
        <is>
          <t>新北一</t>
        </is>
      </c>
      <c r="Y205" s="3">
        <f>VLOOKUP(V205,門市狀態!G:H,2,FALSE)</f>
        <v/>
      </c>
      <c r="Z205" s="371">
        <f>IF(D205="FVC7", IF(COUNTIF(特殊門市清單!N:N, B205)=0, "FVC7", VLOOKUP(B205,特殊門市清單!N:T,7,FALSE)), IF(AA205="v","Peplink",""))</f>
        <v/>
      </c>
      <c r="AA205" s="371">
        <f>IFERROR(VLOOKUP(B205,門市狀態!A:D,4,FALSE),"")</f>
        <v/>
      </c>
      <c r="AB205" s="379">
        <f>VLOOKUP(B205,門市主檔!A:B,2,FALSE)</f>
        <v/>
      </c>
      <c r="AC205" s="380" t="n"/>
      <c r="AD205" s="379" t="n"/>
      <c r="AE205" s="379" t="inlineStr">
        <is>
          <t>機上盒</t>
        </is>
      </c>
      <c r="AF205" s="379" t="inlineStr">
        <is>
          <t>EDC</t>
        </is>
      </c>
      <c r="AG205" s="379" t="n"/>
      <c r="AH205" s="379" t="n"/>
    </row>
    <row r="206" hidden="1"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77">
        <f>IFERROR(LEFT(J206,FIND("縣",J206)),IFERROR(LEFT(J206,FIND("市",J206)),J206))</f>
        <v/>
      </c>
      <c r="V206" s="378">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78">
        <f>IFERROR(MID(J206,IFERROR(FIND("鄉",J206),IFERROR(FIND("鎮",J206),FIND("區",J206)))+1,LEN(J206)),IFERROR(MID(J206,FIND("市",J206)+1,LEN(J206)),MID(J206,FIND("縣",J206)+1,LEN(J206))))</f>
        <v/>
      </c>
      <c r="X206" s="3" t="inlineStr">
        <is>
          <t>新北一</t>
        </is>
      </c>
      <c r="Y206" s="3">
        <f>VLOOKUP(V206,門市狀態!G:H,2,FALSE)</f>
        <v/>
      </c>
      <c r="Z206" s="371">
        <f>IF(D206="FVC7", IF(COUNTIF(特殊門市清單!N:N, B206)=0, "FVC7", VLOOKUP(B206,特殊門市清單!N:T,7,FALSE)), IF(AA206="v","Peplink",""))</f>
        <v/>
      </c>
      <c r="AA206" s="371">
        <f>IFERROR(VLOOKUP(B206,門市狀態!A:D,4,FALSE),"")</f>
        <v/>
      </c>
      <c r="AB206" s="379">
        <f>VLOOKUP(B206,門市主檔!A:B,2,FALSE)</f>
        <v/>
      </c>
      <c r="AC206" s="380" t="n"/>
      <c r="AD206" s="379" t="n"/>
      <c r="AE206" s="379" t="inlineStr">
        <is>
          <t>機上盒</t>
        </is>
      </c>
      <c r="AF206" s="379" t="inlineStr">
        <is>
          <t>EDC</t>
        </is>
      </c>
      <c r="AG206" s="379" t="n"/>
      <c r="AH206" s="379" t="n"/>
    </row>
    <row r="207" hidden="1"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77">
        <f>IFERROR(LEFT(J207,FIND("縣",J207)),IFERROR(LEFT(J207,FIND("市",J207)),J207))</f>
        <v/>
      </c>
      <c r="V207" s="378">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78">
        <f>IFERROR(MID(J207,IFERROR(FIND("鄉",J207),IFERROR(FIND("鎮",J207),FIND("區",J207)))+1,LEN(J207)),IFERROR(MID(J207,FIND("市",J207)+1,LEN(J207)),MID(J207,FIND("縣",J207)+1,LEN(J207))))</f>
        <v/>
      </c>
      <c r="X207" s="3" t="inlineStr">
        <is>
          <t>新北一</t>
        </is>
      </c>
      <c r="Y207" s="3">
        <f>VLOOKUP(V207,門市狀態!G:H,2,FALSE)</f>
        <v/>
      </c>
      <c r="Z207" s="371">
        <f>IF(D207="FVC7", IF(COUNTIF(特殊門市清單!N:N, B207)=0, "FVC7", VLOOKUP(B207,特殊門市清單!N:T,7,FALSE)), IF(AA207="v","Peplink",""))</f>
        <v/>
      </c>
      <c r="AA207" s="371">
        <f>IFERROR(VLOOKUP(B207,門市狀態!A:D,4,FALSE),"")</f>
        <v/>
      </c>
      <c r="AB207" s="379">
        <f>VLOOKUP(B207,門市主檔!A:B,2,FALSE)</f>
        <v/>
      </c>
      <c r="AC207" s="380" t="n"/>
      <c r="AD207" s="379" t="n"/>
      <c r="AE207" s="379" t="n"/>
      <c r="AF207" s="379" t="inlineStr">
        <is>
          <t>EDC</t>
        </is>
      </c>
      <c r="AG207" s="379" t="n"/>
      <c r="AH207" s="379" t="n"/>
    </row>
    <row r="208" hidden="1"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77">
        <f>IFERROR(LEFT(J208,FIND("縣",J208)),IFERROR(LEFT(J208,FIND("市",J208)),J208))</f>
        <v/>
      </c>
      <c r="V208" s="378">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78">
        <f>IFERROR(MID(J208,IFERROR(FIND("鄉",J208),IFERROR(FIND("鎮",J208),FIND("區",J208)))+1,LEN(J208)),IFERROR(MID(J208,FIND("市",J208)+1,LEN(J208)),MID(J208,FIND("縣",J208)+1,LEN(J208))))</f>
        <v/>
      </c>
      <c r="X208" s="3" t="inlineStr">
        <is>
          <t>新北一</t>
        </is>
      </c>
      <c r="Y208" s="3">
        <f>VLOOKUP(V208,門市狀態!G:H,2,FALSE)</f>
        <v/>
      </c>
      <c r="Z208" s="371">
        <f>IF(D208="FVC7", IF(COUNTIF(特殊門市清單!N:N, B208)=0, "FVC7", VLOOKUP(B208,特殊門市清單!N:T,7,FALSE)), IF(AA208="v","Peplink",""))</f>
        <v/>
      </c>
      <c r="AA208" s="371">
        <f>IFERROR(VLOOKUP(B208,門市狀態!A:D,4,FALSE),"")</f>
        <v/>
      </c>
      <c r="AB208" s="379">
        <f>VLOOKUP(B208,門市主檔!A:B,2,FALSE)</f>
        <v/>
      </c>
      <c r="AC208" s="380" t="n"/>
      <c r="AD208" s="379" t="n"/>
      <c r="AE208" s="379" t="n"/>
      <c r="AF208" s="379" t="inlineStr">
        <is>
          <t>EDC</t>
        </is>
      </c>
      <c r="AG208" s="379" t="n"/>
      <c r="AH208" s="379" t="n"/>
    </row>
    <row r="209" hidden="1" ht="21.6" customHeight="1" s="105">
      <c r="A209" s="3" t="n">
        <v>208</v>
      </c>
      <c r="B209" s="3" t="n">
        <v>5245</v>
      </c>
      <c r="C209" s="5" t="inlineStr">
        <is>
          <t>三重護山店</t>
        </is>
      </c>
      <c r="D209" s="3" t="n"/>
      <c r="F209" s="3" t="n"/>
      <c r="G209" s="3" t="n"/>
      <c r="H209" s="80" t="n"/>
      <c r="J209" s="6" t="inlineStr">
        <is>
          <t>新北市三重區三陽路14巷12號及14號</t>
        </is>
      </c>
      <c r="U209" s="377">
        <f>IFERROR(LEFT(J209,FIND("縣",J209)),IFERROR(LEFT(J209,FIND("市",J209)),J209))</f>
        <v/>
      </c>
      <c r="V209" s="378">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78">
        <f>IFERROR(MID(J209,IFERROR(FIND("鄉",J209),IFERROR(FIND("鎮",J209),FIND("區",J209)))+1,LEN(J209)),IFERROR(MID(J209,FIND("市",J209)+1,LEN(J209)),MID(J209,FIND("縣",J209)+1,LEN(J209))))</f>
        <v/>
      </c>
      <c r="X209" s="3" t="inlineStr">
        <is>
          <t>新北一</t>
        </is>
      </c>
      <c r="Y209" s="3">
        <f>VLOOKUP(V209,門市狀態!G:H,2,FALSE)</f>
        <v/>
      </c>
      <c r="Z209" s="371">
        <f>IF(D209="FVC7", IF(COUNTIF(特殊門市清單!N:N, B209)=0, "FVC7", VLOOKUP(B209,特殊門市清單!N:T,7,FALSE)), IF(AA209="v","Peplink",""))</f>
        <v/>
      </c>
      <c r="AA209" s="371">
        <f>IFERROR(VLOOKUP(B209,門市狀態!A:D,4,FALSE),"")</f>
        <v/>
      </c>
      <c r="AB209" s="379">
        <f>VLOOKUP(B209,門市主檔!A:B,2,FALSE)</f>
        <v/>
      </c>
      <c r="AC209" s="380" t="n"/>
      <c r="AD209" s="379" t="n"/>
      <c r="AE209" s="379" t="n"/>
      <c r="AF209" s="379" t="inlineStr">
        <is>
          <t>EDC</t>
        </is>
      </c>
      <c r="AG209" s="379" t="inlineStr">
        <is>
          <t>PEP</t>
        </is>
      </c>
      <c r="AH209" s="379" t="inlineStr">
        <is>
          <t>TVV</t>
        </is>
      </c>
      <c r="AI209" s="383" t="n">
        <v>45890</v>
      </c>
    </row>
    <row r="210" hidden="1"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77">
        <f>IFERROR(LEFT(J210,FIND("縣",J210)),IFERROR(LEFT(J210,FIND("市",J210)),J210))</f>
        <v/>
      </c>
      <c r="V210" s="378">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78">
        <f>IFERROR(MID(J210,IFERROR(FIND("鄉",J210),IFERROR(FIND("鎮",J210),FIND("區",J210)))+1,LEN(J210)),IFERROR(MID(J210,FIND("市",J210)+1,LEN(J210)),MID(J210,FIND("縣",J210)+1,LEN(J210))))</f>
        <v/>
      </c>
      <c r="X210" s="3" t="inlineStr">
        <is>
          <t>新北一</t>
        </is>
      </c>
      <c r="Y210" s="3">
        <f>VLOOKUP(V210,門市狀態!G:H,2,FALSE)</f>
        <v/>
      </c>
      <c r="Z210" s="371">
        <f>IF(D210="FVC7", IF(COUNTIF(特殊門市清單!N:N, B210)=0, "FVC7", VLOOKUP(B210,特殊門市清單!N:T,7,FALSE)), IF(AA210="v","Peplink",""))</f>
        <v/>
      </c>
      <c r="AA210" s="371">
        <f>IFERROR(VLOOKUP(B210,門市狀態!A:D,4,FALSE),"")</f>
        <v/>
      </c>
      <c r="AB210" s="379">
        <f>VLOOKUP(B210,門市主檔!A:B,2,FALSE)</f>
        <v/>
      </c>
      <c r="AC210" s="380" t="n"/>
      <c r="AD210" s="379" t="n"/>
      <c r="AE210" s="379" t="n"/>
      <c r="AF210" s="379" t="inlineStr">
        <is>
          <t>EDC</t>
        </is>
      </c>
      <c r="AG210" s="379" t="inlineStr">
        <is>
          <t>PEP</t>
        </is>
      </c>
      <c r="AH210" s="379" t="inlineStr">
        <is>
          <t>TVV</t>
        </is>
      </c>
      <c r="AI210" s="383" t="n">
        <v>45891</v>
      </c>
    </row>
    <row r="211" hidden="1" ht="21.6" customHeight="1" s="105">
      <c r="A211" s="3" t="n">
        <v>210</v>
      </c>
      <c r="B211" s="3" t="n">
        <v>5316</v>
      </c>
      <c r="C211" s="5" t="inlineStr">
        <is>
          <t>三重五常店</t>
        </is>
      </c>
      <c r="D211" s="3" t="n"/>
      <c r="F211" s="3" t="n"/>
      <c r="G211" s="3" t="n"/>
      <c r="H211" s="80" t="n"/>
      <c r="J211" s="5" t="inlineStr">
        <is>
          <t>新北市三重區仁義街209號1樓及地下室</t>
        </is>
      </c>
      <c r="U211" s="377">
        <f>IFERROR(LEFT(J211,FIND("縣",J211)),IFERROR(LEFT(J211,FIND("市",J211)),J211))</f>
        <v/>
      </c>
      <c r="V211" s="378">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78">
        <f>IFERROR(MID(J211,IFERROR(FIND("鄉",J211),IFERROR(FIND("鎮",J211),FIND("區",J211)))+1,LEN(J211)),IFERROR(MID(J211,FIND("市",J211)+1,LEN(J211)),MID(J211,FIND("縣",J211)+1,LEN(J211))))</f>
        <v/>
      </c>
      <c r="X211" s="3" t="inlineStr">
        <is>
          <t>新北一</t>
        </is>
      </c>
      <c r="Y211" s="3">
        <f>VLOOKUP(V211,門市狀態!G:H,2,FALSE)</f>
        <v/>
      </c>
      <c r="Z211" s="371">
        <f>IF(D211="FVC7", IF(COUNTIF(特殊門市清單!N:N, B211)=0, "FVC7", VLOOKUP(B211,特殊門市清單!N:T,7,FALSE)), IF(AA211="v","Peplink",""))</f>
        <v/>
      </c>
      <c r="AA211" s="371">
        <f>IFERROR(VLOOKUP(B211,門市狀態!A:D,4,FALSE),"")</f>
        <v/>
      </c>
      <c r="AB211" s="379">
        <f>VLOOKUP(B211,門市主檔!A:B,2,FALSE)</f>
        <v/>
      </c>
      <c r="AC211" s="380" t="n"/>
      <c r="AD211" s="379" t="n"/>
      <c r="AE211" s="379" t="n"/>
      <c r="AF211" s="379" t="inlineStr">
        <is>
          <t>EDC</t>
        </is>
      </c>
      <c r="AG211" s="379" t="inlineStr">
        <is>
          <t>PEP</t>
        </is>
      </c>
      <c r="AH211" s="379" t="inlineStr">
        <is>
          <t>TVV</t>
        </is>
      </c>
      <c r="AI211" s="383" t="n">
        <v>45891</v>
      </c>
    </row>
    <row r="212" hidden="1" ht="21.6" customHeight="1" s="105">
      <c r="A212" s="3" t="n">
        <v>211</v>
      </c>
      <c r="B212" s="3" t="n">
        <v>5341</v>
      </c>
      <c r="C212" s="5" t="inlineStr">
        <is>
          <t>蘆洲切仔麵</t>
        </is>
      </c>
      <c r="D212" s="3" t="n"/>
      <c r="F212" s="3" t="n"/>
      <c r="G212" s="3" t="n"/>
      <c r="H212" s="80" t="n"/>
      <c r="J212" s="5" t="inlineStr">
        <is>
          <t>新北市蘆洲區中山二路77號</t>
        </is>
      </c>
      <c r="U212" s="377">
        <f>IFERROR(LEFT(J212,FIND("縣",J212)),IFERROR(LEFT(J212,FIND("市",J212)),J212))</f>
        <v/>
      </c>
      <c r="V212" s="378">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78">
        <f>IFERROR(MID(J212,IFERROR(FIND("鄉",J212),IFERROR(FIND("鎮",J212),FIND("區",J212)))+1,LEN(J212)),IFERROR(MID(J212,FIND("市",J212)+1,LEN(J212)),MID(J212,FIND("縣",J212)+1,LEN(J212))))</f>
        <v/>
      </c>
      <c r="X212" s="3" t="inlineStr">
        <is>
          <t>新北一</t>
        </is>
      </c>
      <c r="Y212" s="3">
        <f>VLOOKUP(V212,門市狀態!G:H,2,FALSE)</f>
        <v/>
      </c>
      <c r="Z212" s="371">
        <f>IF(D212="FVC7", IF(COUNTIF(特殊門市清單!N:N, B212)=0, "FVC7", VLOOKUP(B212,特殊門市清單!N:T,7,FALSE)), IF(AA212="v","Peplink",""))</f>
        <v/>
      </c>
      <c r="AA212" s="371">
        <f>IFERROR(VLOOKUP(B212,門市狀態!A:D,4,FALSE),"")</f>
        <v/>
      </c>
      <c r="AB212" s="379">
        <f>VLOOKUP(B212,門市主檔!A:B,2,FALSE)</f>
        <v/>
      </c>
      <c r="AC212" s="380" t="inlineStr">
        <is>
          <t>HUB</t>
        </is>
      </c>
      <c r="AD212" s="379" t="n"/>
      <c r="AE212" s="379" t="n"/>
      <c r="AF212" s="379" t="inlineStr">
        <is>
          <t>EDC</t>
        </is>
      </c>
      <c r="AG212" s="379" t="inlineStr">
        <is>
          <t>PEP</t>
        </is>
      </c>
      <c r="AH212" s="379" t="n"/>
      <c r="AI212" s="383" t="n">
        <v>45895</v>
      </c>
    </row>
    <row r="213" hidden="1" ht="21.6" customHeight="1" s="105">
      <c r="A213" s="3" t="n">
        <v>212</v>
      </c>
      <c r="B213" s="3" t="n">
        <v>5352</v>
      </c>
      <c r="C213" s="5" t="inlineStr">
        <is>
          <t>三重重陽店</t>
        </is>
      </c>
      <c r="D213" s="3" t="n"/>
      <c r="F213" s="3" t="n"/>
      <c r="G213" s="3" t="n"/>
      <c r="H213" s="80" t="n"/>
      <c r="J213" s="5" t="inlineStr">
        <is>
          <t>新北市三重區仁義街209號1樓及地下室</t>
        </is>
      </c>
      <c r="U213" s="377">
        <f>IFERROR(LEFT(J213,FIND("縣",J213)),IFERROR(LEFT(J213,FIND("市",J213)),J213))</f>
        <v/>
      </c>
      <c r="V213" s="378">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78">
        <f>IFERROR(MID(J213,IFERROR(FIND("鄉",J213),IFERROR(FIND("鎮",J213),FIND("區",J213)))+1,LEN(J213)),IFERROR(MID(J213,FIND("市",J213)+1,LEN(J213)),MID(J213,FIND("縣",J213)+1,LEN(J213))))</f>
        <v/>
      </c>
      <c r="X213" s="3" t="inlineStr">
        <is>
          <t>新北一</t>
        </is>
      </c>
      <c r="Y213" s="3">
        <f>VLOOKUP(V213,門市狀態!G:H,2,FALSE)</f>
        <v/>
      </c>
      <c r="Z213" s="371">
        <f>IF(D213="FVC7", IF(COUNTIF(特殊門市清單!N:N, B213)=0, "FVC7", VLOOKUP(B213,特殊門市清單!N:T,7,FALSE)), IF(AA213="v","Peplink",""))</f>
        <v/>
      </c>
      <c r="AA213" s="371">
        <f>IFERROR(VLOOKUP(B213,門市狀態!A:D,4,FALSE),"")</f>
        <v/>
      </c>
      <c r="AB213" s="379">
        <f>VLOOKUP(B213,門市主檔!A:B,2,FALSE)</f>
        <v/>
      </c>
      <c r="AC213" s="380" t="n"/>
      <c r="AD213" s="379" t="n"/>
      <c r="AE213" s="379" t="n"/>
      <c r="AF213" s="379" t="inlineStr">
        <is>
          <t>EDC</t>
        </is>
      </c>
      <c r="AG213" s="379" t="inlineStr">
        <is>
          <t>PEP</t>
        </is>
      </c>
      <c r="AH213" s="379" t="inlineStr">
        <is>
          <t>TVV</t>
        </is>
      </c>
      <c r="AI213" s="383" t="n">
        <v>45890</v>
      </c>
    </row>
    <row r="214" hidden="1" ht="21.6" customHeight="1" s="105">
      <c r="A214" s="3" t="n">
        <v>213</v>
      </c>
      <c r="B214" s="3" t="n">
        <v>5364</v>
      </c>
      <c r="C214" s="5" t="inlineStr">
        <is>
          <t>林口舊街店</t>
        </is>
      </c>
      <c r="D214" s="3" t="n"/>
      <c r="F214" s="3" t="n"/>
      <c r="G214" s="3" t="n"/>
      <c r="H214" s="80" t="n"/>
      <c r="J214" s="6" t="inlineStr">
        <is>
          <t>新北市林口區中正路100號一樓</t>
        </is>
      </c>
      <c r="U214" s="377">
        <f>IFERROR(LEFT(J214,FIND("縣",J214)),IFERROR(LEFT(J214,FIND("市",J214)),J214))</f>
        <v/>
      </c>
      <c r="V214" s="378">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78">
        <f>IFERROR(MID(J214,IFERROR(FIND("鄉",J214),IFERROR(FIND("鎮",J214),FIND("區",J214)))+1,LEN(J214)),IFERROR(MID(J214,FIND("市",J214)+1,LEN(J214)),MID(J214,FIND("縣",J214)+1,LEN(J214))))</f>
        <v/>
      </c>
      <c r="X214" s="3" t="inlineStr">
        <is>
          <t>新北一</t>
        </is>
      </c>
      <c r="Y214" s="3">
        <f>VLOOKUP(V214,門市狀態!G:H,2,FALSE)</f>
        <v/>
      </c>
      <c r="Z214" s="371">
        <f>IF(D214="FVC7", IF(COUNTIF(特殊門市清單!N:N, B214)=0, "FVC7", VLOOKUP(B214,特殊門市清單!N:T,7,FALSE)), IF(AA214="v","Peplink",""))</f>
        <v/>
      </c>
      <c r="AA214" s="371">
        <f>IFERROR(VLOOKUP(B214,門市狀態!A:D,4,FALSE),"")</f>
        <v/>
      </c>
      <c r="AB214" s="379">
        <f>VLOOKUP(B214,門市主檔!A:B,2,FALSE)</f>
        <v/>
      </c>
      <c r="AC214" s="380" t="n"/>
      <c r="AD214" s="379" t="n"/>
      <c r="AE214" s="379" t="n"/>
      <c r="AF214" s="379" t="inlineStr">
        <is>
          <t>EDC</t>
        </is>
      </c>
      <c r="AG214" s="379" t="inlineStr">
        <is>
          <t>PEP</t>
        </is>
      </c>
      <c r="AH214" s="379" t="n"/>
      <c r="AI214" s="383" t="n">
        <v>45889</v>
      </c>
    </row>
    <row r="215" hidden="1" ht="21.6" customHeight="1" s="105">
      <c r="A215" s="3" t="n">
        <v>214</v>
      </c>
      <c r="B215" s="3" t="n">
        <v>5384</v>
      </c>
      <c r="C215" s="5" t="inlineStr">
        <is>
          <t>板橋民生站</t>
        </is>
      </c>
      <c r="J215" s="6" t="inlineStr">
        <is>
          <t>新北市板橋區</t>
        </is>
      </c>
      <c r="U215" s="384">
        <f>IFERROR(LEFT(J215,FIND("縣",J215)),IFERROR(LEFT(J215,FIND("市",J215)),J215))</f>
        <v/>
      </c>
      <c r="V215" s="376">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6">
        <f>IFERROR(MID(J215,IFERROR(FIND("鄉",J215),IFERROR(FIND("鎮",J215),FIND("區",J215)))+1,LEN(J215)),IFERROR(MID(J215,FIND("市",J215)+1,LEN(J215)),MID(J215,FIND("縣",J215)+1,LEN(J215))))</f>
        <v/>
      </c>
      <c r="X215" s="3" t="inlineStr">
        <is>
          <t>新北一</t>
        </is>
      </c>
      <c r="Y215" s="3">
        <f>VLOOKUP(V215,門市狀態!G:H,2,FALSE)</f>
        <v/>
      </c>
      <c r="Z215" s="371">
        <f>IF(D215="FVC7", IF(COUNTIF(特殊門市清單!N:N, B215)=0, "FVC7", VLOOKUP(B215,特殊門市清單!N:T,7,FALSE)), IF(AA215="v","Peplink",""))</f>
        <v/>
      </c>
      <c r="AA215" s="371">
        <f>IFERROR(VLOOKUP(B215,門市狀態!A:D,4,FALSE),"")</f>
        <v/>
      </c>
      <c r="AB215" s="379">
        <f>VLOOKUP(B215,門市主檔!A:B,2,FALSE)</f>
        <v/>
      </c>
      <c r="AC215" s="380" t="n"/>
      <c r="AD215" s="379" t="n"/>
      <c r="AE215" s="379" t="n"/>
      <c r="AF215" s="379" t="inlineStr">
        <is>
          <t>EDC</t>
        </is>
      </c>
      <c r="AG215" s="379" t="inlineStr">
        <is>
          <t>PEP</t>
        </is>
      </c>
      <c r="AH215" s="379" t="n"/>
      <c r="AI215" s="383" t="n">
        <v>45887</v>
      </c>
    </row>
    <row r="216" hidden="1" ht="21.6" customHeight="1" s="105">
      <c r="A216" s="3" t="n">
        <v>215</v>
      </c>
      <c r="B216" s="3" t="n">
        <v>5354</v>
      </c>
      <c r="C216" s="5" t="inlineStr">
        <is>
          <t>蘆洲希望店</t>
        </is>
      </c>
      <c r="J216" s="6" t="inlineStr">
        <is>
          <t>新北市蘆洲區三民路368號1樓之1</t>
        </is>
      </c>
      <c r="U216" s="384">
        <f>IFERROR(LEFT(J216,FIND("縣",J216)),IFERROR(LEFT(J216,FIND("市",J216)),J216))</f>
        <v/>
      </c>
      <c r="V216" s="376">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6">
        <f>IFERROR(MID(J216,IFERROR(FIND("鄉",J216),IFERROR(FIND("鎮",J216),FIND("區",J216)))+1,LEN(J216)),IFERROR(MID(J216,FIND("市",J216)+1,LEN(J216)),MID(J216,FIND("縣",J216)+1,LEN(J216))))</f>
        <v/>
      </c>
      <c r="X216" s="3" t="inlineStr">
        <is>
          <t>新北一</t>
        </is>
      </c>
      <c r="Y216" s="3">
        <f>VLOOKUP(V216,門市狀態!G:H,2,FALSE)</f>
        <v/>
      </c>
      <c r="Z216" s="371">
        <f>IF(D216="FVC7", IF(COUNTIF(特殊門市清單!N:N, B216)=0, "FVC7", VLOOKUP(B216,特殊門市清單!N:T,7,FALSE)), IF(AA216="v","Peplink",""))</f>
        <v/>
      </c>
      <c r="AA216" s="371">
        <f>IFERROR(VLOOKUP(B216,門市狀態!A:D,4,FALSE),"")</f>
        <v/>
      </c>
      <c r="AB216" s="379">
        <f>VLOOKUP(B216,門市主檔!A:B,2,FALSE)</f>
        <v/>
      </c>
      <c r="AC216" s="380" t="n"/>
      <c r="AD216" s="379" t="n"/>
      <c r="AE216" s="379" t="n"/>
      <c r="AF216" s="379" t="inlineStr">
        <is>
          <t>EDC</t>
        </is>
      </c>
      <c r="AG216" s="379" t="inlineStr">
        <is>
          <t>PEP</t>
        </is>
      </c>
      <c r="AH216" s="379" t="n"/>
      <c r="AI216" s="383" t="n">
        <v>45895</v>
      </c>
    </row>
    <row r="217" hidden="1" ht="21.6" customHeight="1" s="105">
      <c r="A217" s="3" t="n">
        <v>216</v>
      </c>
      <c r="B217" s="3" t="n">
        <v>5377</v>
      </c>
      <c r="C217" s="5" t="inlineStr">
        <is>
          <t>三重大智店</t>
        </is>
      </c>
      <c r="J217" s="6" t="inlineStr">
        <is>
          <t>新北市蘆洲區三民路368號1樓之1</t>
        </is>
      </c>
      <c r="U217" s="384">
        <f>IFERROR(LEFT(J217,FIND("縣",J217)),IFERROR(LEFT(J217,FIND("市",J217)),J217))</f>
        <v/>
      </c>
      <c r="V217" s="376" t="inlineStr">
        <is>
          <t>三重區</t>
        </is>
      </c>
      <c r="X217" s="3" t="inlineStr">
        <is>
          <t>新北一</t>
        </is>
      </c>
      <c r="Y217" s="3">
        <f>VLOOKUP(V217,門市狀態!G:H,2,FALSE)</f>
        <v/>
      </c>
      <c r="Z217" s="371">
        <f>IF(D217="FVC7", IF(COUNTIF(特殊門市清單!N:N, B217)=0, "FVC7", VLOOKUP(B217,特殊門市清單!N:T,7,FALSE)), IF(AA217="v","Peplink",""))</f>
        <v/>
      </c>
      <c r="AA217" s="371">
        <f>IFERROR(VLOOKUP(B217,門市狀態!A:D,4,FALSE),"")</f>
        <v/>
      </c>
      <c r="AB217" s="379">
        <f>VLOOKUP(B217,門市主檔!A:B,2,FALSE)</f>
        <v/>
      </c>
      <c r="AC217" s="380" t="n"/>
      <c r="AD217" s="379" t="n"/>
      <c r="AE217" s="379" t="n"/>
      <c r="AF217" s="379" t="inlineStr">
        <is>
          <t>EDC</t>
        </is>
      </c>
      <c r="AG217" s="379" t="n"/>
      <c r="AH217" s="379" t="n"/>
      <c r="AI217" s="383" t="n"/>
    </row>
  </sheetData>
  <autoFilter ref="A1:AH217">
    <filterColumn colId="21" hiddenButton="0" showButton="1">
      <filters>
        <filter val="林口區"/>
      </filters>
    </filterColumn>
    <filterColumn colId="33" hiddenButton="0" showButton="1">
      <customFilters>
        <customFilter val=" " operator="notEqual"/>
      </customFilters>
    </filterColumn>
  </autoFilter>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00" min="1" max="1"/>
    <col width="8.796875" customWidth="1" style="400" min="2" max="2"/>
    <col width="16.19921875" bestFit="1" customWidth="1" style="400" min="3" max="3"/>
    <col width="14.59765625" bestFit="1" customWidth="1" style="400" min="4" max="4"/>
    <col width="32.796875" bestFit="1" customWidth="1" style="400" min="5" max="5"/>
    <col width="8.796875" customWidth="1" style="399" min="6" max="47"/>
    <col width="8.796875" customWidth="1" style="399" min="48" max="16384"/>
  </cols>
  <sheetData>
    <row r="1">
      <c r="A1" s="402" t="inlineStr">
        <is>
          <t>機型</t>
        </is>
      </c>
      <c r="B1" s="402" t="inlineStr">
        <is>
          <t>部件</t>
        </is>
      </c>
      <c r="C1" s="402" t="inlineStr">
        <is>
          <t>零件名稱</t>
        </is>
      </c>
      <c r="D1" s="402" t="inlineStr">
        <is>
          <t>料號</t>
        </is>
      </c>
      <c r="E1" s="402" t="inlineStr">
        <is>
          <t>型號</t>
        </is>
      </c>
    </row>
    <row r="2">
      <c r="A2" s="400" t="inlineStr">
        <is>
          <t>15AC</t>
        </is>
      </c>
      <c r="B2" s="400" t="inlineStr">
        <is>
          <t>滾筒組</t>
        </is>
      </c>
      <c r="C2" s="400" t="inlineStr">
        <is>
          <t>回收盒</t>
        </is>
      </c>
      <c r="D2" s="400" t="inlineStr">
        <is>
          <t>TTBFC505C</t>
        </is>
      </c>
      <c r="E2" s="400" t="inlineStr">
        <is>
          <t>PS-TBFC505C</t>
        </is>
      </c>
    </row>
    <row r="3">
      <c r="A3" s="400" t="inlineStr">
        <is>
          <t>15AC</t>
        </is>
      </c>
      <c r="B3" s="400" t="inlineStr">
        <is>
          <t>滾筒組</t>
        </is>
      </c>
      <c r="C3" s="400" t="inlineStr">
        <is>
          <t>滾筒(黑)</t>
        </is>
      </c>
      <c r="D3" s="400" t="inlineStr">
        <is>
          <t>T6LK49015000</t>
        </is>
      </c>
      <c r="E3" s="400" t="inlineStr">
        <is>
          <t>OD-FC505</t>
        </is>
      </c>
    </row>
    <row r="4">
      <c r="A4" s="400" t="inlineStr">
        <is>
          <t>15AC</t>
        </is>
      </c>
      <c r="B4" s="400" t="inlineStr">
        <is>
          <t>滾筒組</t>
        </is>
      </c>
      <c r="C4" s="400" t="inlineStr">
        <is>
          <t>滾筒(彩)</t>
        </is>
      </c>
      <c r="D4" s="400" t="inlineStr">
        <is>
          <t>T6LJ70598000</t>
        </is>
      </c>
      <c r="E4" s="400" t="inlineStr">
        <is>
          <t>OD-FC50</t>
        </is>
      </c>
    </row>
    <row r="5">
      <c r="A5" s="400" t="inlineStr">
        <is>
          <t>15AC</t>
        </is>
      </c>
      <c r="B5" s="400" t="inlineStr">
        <is>
          <t>滾筒組</t>
        </is>
      </c>
      <c r="C5" s="400" t="inlineStr">
        <is>
          <t>滾筒刮片</t>
        </is>
      </c>
      <c r="D5" s="400" t="inlineStr">
        <is>
          <t>T6LK49077000</t>
        </is>
      </c>
      <c r="E5" s="400" t="inlineStr">
        <is>
          <t>BL-FC200D</t>
        </is>
      </c>
    </row>
    <row r="6">
      <c r="A6" s="400" t="inlineStr">
        <is>
          <t>15AC</t>
        </is>
      </c>
      <c r="B6" s="400" t="inlineStr">
        <is>
          <t>滾筒組</t>
        </is>
      </c>
      <c r="C6" s="400" t="inlineStr">
        <is>
          <t>回收刮片</t>
        </is>
      </c>
      <c r="D6" s="400" t="inlineStr">
        <is>
          <t>T6LJ54029000</t>
        </is>
      </c>
      <c r="E6" s="400" t="inlineStr">
        <is>
          <t>BLADE-REC-H21X</t>
        </is>
      </c>
    </row>
    <row r="7">
      <c r="A7" s="400" t="inlineStr">
        <is>
          <t>15AC</t>
        </is>
      </c>
      <c r="B7" s="400" t="inlineStr">
        <is>
          <t>滾筒組</t>
        </is>
      </c>
      <c r="C7" s="400" t="inlineStr">
        <is>
          <t>鐵粉(黑)</t>
        </is>
      </c>
      <c r="D7" s="400" t="inlineStr">
        <is>
          <t>T6LK49016300</t>
        </is>
      </c>
      <c r="E7" s="400" t="inlineStr">
        <is>
          <t>D-FC505-K</t>
        </is>
      </c>
    </row>
    <row r="8">
      <c r="A8" s="400" t="inlineStr">
        <is>
          <t>15AC</t>
        </is>
      </c>
      <c r="B8" s="400" t="inlineStr">
        <is>
          <t>滾筒組</t>
        </is>
      </c>
      <c r="C8" s="400" t="inlineStr">
        <is>
          <t>鐵粉(黃)</t>
        </is>
      </c>
      <c r="D8" s="400" t="inlineStr">
        <is>
          <t>T6LK49016000</t>
        </is>
      </c>
      <c r="E8" s="400" t="inlineStr">
        <is>
          <t>D-FC505-Y</t>
        </is>
      </c>
    </row>
    <row r="9">
      <c r="A9" s="400" t="inlineStr">
        <is>
          <t>15AC</t>
        </is>
      </c>
      <c r="B9" s="400" t="inlineStr">
        <is>
          <t>滾筒組</t>
        </is>
      </c>
      <c r="C9" s="400" t="inlineStr">
        <is>
          <t>鐵粉(紅)</t>
        </is>
      </c>
      <c r="D9" s="400" t="inlineStr">
        <is>
          <t>T6LK49016100</t>
        </is>
      </c>
      <c r="E9" s="400" t="inlineStr">
        <is>
          <t>D-FC505-M</t>
        </is>
      </c>
    </row>
    <row r="10">
      <c r="A10" s="400" t="inlineStr">
        <is>
          <t>15AC</t>
        </is>
      </c>
      <c r="B10" s="400" t="inlineStr">
        <is>
          <t>滾筒組</t>
        </is>
      </c>
      <c r="C10" s="400" t="inlineStr">
        <is>
          <t>鐵粉(藍)</t>
        </is>
      </c>
      <c r="D10" s="400" t="inlineStr">
        <is>
          <t>T6LK49016200</t>
        </is>
      </c>
      <c r="E10" s="400" t="inlineStr">
        <is>
          <t>D-FC505-C</t>
        </is>
      </c>
    </row>
    <row r="11">
      <c r="A11" s="400" t="inlineStr">
        <is>
          <t>15AC</t>
        </is>
      </c>
      <c r="B11" s="400" t="inlineStr">
        <is>
          <t>顯像組</t>
        </is>
      </c>
      <c r="C11" s="400" t="inlineStr">
        <is>
          <t>攪拌棒(無刷片)</t>
        </is>
      </c>
      <c r="D11" s="400" t="inlineStr">
        <is>
          <t>T6LJ54275000</t>
        </is>
      </c>
      <c r="E11" s="400" t="inlineStr">
        <is>
          <t>MIXER-DEV-SPLR-PBF</t>
        </is>
      </c>
    </row>
    <row r="12">
      <c r="A12" s="400" t="inlineStr">
        <is>
          <t>15AC</t>
        </is>
      </c>
      <c r="B12" s="400" t="inlineStr">
        <is>
          <t>顯像組</t>
        </is>
      </c>
      <c r="C12" s="400" t="inlineStr">
        <is>
          <t>攪拌棒(偵測器)</t>
        </is>
      </c>
      <c r="D12" s="400" t="inlineStr">
        <is>
          <t>T6LK48956000</t>
        </is>
      </c>
      <c r="E12" s="400" t="inlineStr">
        <is>
          <t>ASYS-MIXR-DEV-AGIR-H373</t>
        </is>
      </c>
    </row>
    <row r="13">
      <c r="A13" s="400" t="inlineStr">
        <is>
          <t>15AC</t>
        </is>
      </c>
      <c r="B13" s="400" t="inlineStr">
        <is>
          <t>顯像組</t>
        </is>
      </c>
      <c r="C13" s="400" t="inlineStr">
        <is>
          <t>顯像齒輪(小)</t>
        </is>
      </c>
      <c r="D13" s="400" t="inlineStr">
        <is>
          <t>T6LK48905000</t>
        </is>
      </c>
      <c r="E13" s="400" t="inlineStr">
        <is>
          <t>GEAR-04H-29-9-MIX-AG-H373</t>
        </is>
      </c>
    </row>
    <row r="14">
      <c r="A14" s="400" t="inlineStr">
        <is>
          <t>15AC</t>
        </is>
      </c>
      <c r="B14" s="400" t="inlineStr">
        <is>
          <t>顯像組</t>
        </is>
      </c>
      <c r="C14" s="400" t="inlineStr">
        <is>
          <t>顯像齒輪(中-低)</t>
        </is>
      </c>
      <c r="D14" s="400" t="inlineStr">
        <is>
          <t>T6LK48908000</t>
        </is>
      </c>
      <c r="E14" s="400" t="inlineStr">
        <is>
          <t>GEAR-04H-42-6-IDLE-H373</t>
        </is>
      </c>
    </row>
    <row r="15">
      <c r="A15" s="400" t="inlineStr">
        <is>
          <t>15AC</t>
        </is>
      </c>
      <c r="B15" s="400" t="inlineStr">
        <is>
          <t>顯像組</t>
        </is>
      </c>
      <c r="C15" s="400" t="inlineStr">
        <is>
          <t>顯像齒輪(中-高)</t>
        </is>
      </c>
      <c r="D15" s="400" t="inlineStr">
        <is>
          <t>T6LK48939000</t>
        </is>
      </c>
      <c r="E15" s="400" t="inlineStr">
        <is>
          <t>ASYS-GEAR-IDLE-H376</t>
        </is>
      </c>
    </row>
    <row r="16">
      <c r="A16" s="400" t="inlineStr">
        <is>
          <t>15AC</t>
        </is>
      </c>
      <c r="B16" s="400" t="inlineStr">
        <is>
          <t>顯像組</t>
        </is>
      </c>
      <c r="C16" s="400" t="inlineStr">
        <is>
          <t>顯像齒輪(大)</t>
        </is>
      </c>
      <c r="D16" s="400" t="inlineStr">
        <is>
          <t>T6LJ54055000</t>
        </is>
      </c>
      <c r="E16" s="400" t="inlineStr">
        <is>
          <t>GEAR-04H-29-9-MIX-AGIR</t>
        </is>
      </c>
    </row>
    <row r="17">
      <c r="A17" s="400" t="inlineStr">
        <is>
          <t>15AC</t>
        </is>
      </c>
      <c r="B17" s="400" t="inlineStr">
        <is>
          <t>顯像組</t>
        </is>
      </c>
      <c r="C17" s="400" t="inlineStr">
        <is>
          <t>攪拌棒(油封)</t>
        </is>
      </c>
      <c r="D17" s="400" t="n">
        <v>4401949290</v>
      </c>
      <c r="E17" s="400" t="inlineStr">
        <is>
          <t>SEAL-VC6-10-2.5</t>
        </is>
      </c>
    </row>
    <row r="18">
      <c r="A18" s="400" t="inlineStr">
        <is>
          <t>15AC</t>
        </is>
      </c>
      <c r="B18" s="400" t="inlineStr">
        <is>
          <t>顯像組</t>
        </is>
      </c>
      <c r="C18" s="400" t="inlineStr">
        <is>
          <t>攪拌棒(導輪)</t>
        </is>
      </c>
      <c r="D18" s="400" t="inlineStr">
        <is>
          <t>F0-01959000</t>
        </is>
      </c>
      <c r="E18" s="400" t="inlineStr">
        <is>
          <t>L1260 2RS-SH44M-GV22</t>
        </is>
      </c>
    </row>
    <row r="19">
      <c r="A19" s="400" t="inlineStr">
        <is>
          <t>15AC</t>
        </is>
      </c>
      <c r="B19" s="400" t="inlineStr">
        <is>
          <t>定著組</t>
        </is>
      </c>
      <c r="C19" s="400" t="inlineStr">
        <is>
          <t>下熱滾軸</t>
        </is>
      </c>
      <c r="D19" s="400" t="inlineStr">
        <is>
          <t>T6LK55468000</t>
        </is>
      </c>
      <c r="E19" s="400" t="inlineStr">
        <is>
          <t>PR-FC505</t>
        </is>
      </c>
    </row>
    <row r="20">
      <c r="A20" s="400" t="inlineStr">
        <is>
          <t>15AC</t>
        </is>
      </c>
      <c r="B20" s="400" t="inlineStr">
        <is>
          <t>定著組</t>
        </is>
      </c>
      <c r="C20" s="400" t="inlineStr">
        <is>
          <t>上熱皮帶(低)</t>
        </is>
      </c>
      <c r="D20" s="400" t="inlineStr">
        <is>
          <t>T6LK56853000</t>
        </is>
      </c>
      <c r="E20" s="400" t="inlineStr">
        <is>
          <t>BT-FC505</t>
        </is>
      </c>
    </row>
    <row r="21">
      <c r="A21" s="400" t="inlineStr">
        <is>
          <t>15AC</t>
        </is>
      </c>
      <c r="B21" s="400" t="inlineStr">
        <is>
          <t>定著組</t>
        </is>
      </c>
      <c r="C21" s="400" t="inlineStr">
        <is>
          <t>上熱皮帶(高)</t>
        </is>
      </c>
      <c r="D21" s="400" t="inlineStr">
        <is>
          <t>T6LK56854000</t>
        </is>
      </c>
      <c r="E21" s="400" t="inlineStr">
        <is>
          <t>BT-FC505H</t>
        </is>
      </c>
    </row>
    <row r="22">
      <c r="A22" s="400" t="inlineStr">
        <is>
          <t>15AC</t>
        </is>
      </c>
      <c r="B22" s="400" t="inlineStr">
        <is>
          <t>定著組</t>
        </is>
      </c>
      <c r="C22" s="400" t="inlineStr">
        <is>
          <t>油布</t>
        </is>
      </c>
      <c r="D22" s="400" t="inlineStr">
        <is>
          <t>T6LJ58874000</t>
        </is>
      </c>
      <c r="E22" s="400" t="inlineStr">
        <is>
          <t>SHEET-PAD-BELT</t>
        </is>
      </c>
    </row>
    <row r="23">
      <c r="A23" s="400" t="inlineStr">
        <is>
          <t>15AC</t>
        </is>
      </c>
      <c r="B23" s="400" t="inlineStr">
        <is>
          <t>定著組</t>
        </is>
      </c>
      <c r="C23" s="400" t="inlineStr">
        <is>
          <t>加熱棒(低)</t>
        </is>
      </c>
      <c r="D23" s="400" t="inlineStr">
        <is>
          <t>T6LK55470000</t>
        </is>
      </c>
      <c r="E23" s="400" t="inlineStr">
        <is>
          <t>BELT-HLDUNIT-H373</t>
        </is>
      </c>
    </row>
    <row r="24">
      <c r="A24" s="400" t="inlineStr">
        <is>
          <t>15AC</t>
        </is>
      </c>
      <c r="B24" s="400" t="inlineStr">
        <is>
          <t>定著組</t>
        </is>
      </c>
      <c r="C24" s="400" t="inlineStr">
        <is>
          <t>加熱棒(高)</t>
        </is>
      </c>
      <c r="D24" s="400" t="inlineStr">
        <is>
          <t>T6LK55469000</t>
        </is>
      </c>
      <c r="E24" s="400" t="inlineStr">
        <is>
          <t>BELT-HLDUNIT-H376</t>
        </is>
      </c>
    </row>
    <row r="25">
      <c r="A25" s="400" t="inlineStr">
        <is>
          <t>15AC</t>
        </is>
      </c>
      <c r="B25" s="400" t="inlineStr">
        <is>
          <t>取紙組</t>
        </is>
      </c>
      <c r="C25" s="400" t="inlineStr">
        <is>
          <t>取紙輪</t>
        </is>
      </c>
      <c r="D25" s="400" t="inlineStr">
        <is>
          <t>T6LJ56242000</t>
        </is>
      </c>
      <c r="E25" s="400" t="inlineStr">
        <is>
          <t>ASYS-ROLL-FEED-H21X_H</t>
        </is>
      </c>
    </row>
    <row r="26">
      <c r="A26" s="400" t="inlineStr">
        <is>
          <t>15AC</t>
        </is>
      </c>
      <c r="B26" s="400" t="inlineStr">
        <is>
          <t>取紙組</t>
        </is>
      </c>
      <c r="C26" s="400" t="inlineStr">
        <is>
          <t>送紙輪</t>
        </is>
      </c>
      <c r="D26" s="400" t="inlineStr">
        <is>
          <t>T6LK50739000</t>
        </is>
      </c>
      <c r="E26" s="400" t="inlineStr">
        <is>
          <t>ASYS-ROLL-FEED-H373</t>
        </is>
      </c>
    </row>
    <row r="27">
      <c r="A27" s="400" t="inlineStr">
        <is>
          <t>15AC</t>
        </is>
      </c>
      <c r="B27" s="400" t="inlineStr">
        <is>
          <t>取紙組</t>
        </is>
      </c>
      <c r="C27" s="400" t="inlineStr">
        <is>
          <t>分離輪</t>
        </is>
      </c>
      <c r="D27" s="400" t="inlineStr">
        <is>
          <t>T6LK50742000</t>
        </is>
      </c>
      <c r="E27" s="400" t="inlineStr">
        <is>
          <t>ASYS-ROLL-SPT-H373</t>
        </is>
      </c>
    </row>
    <row r="28">
      <c r="A28" s="400" t="inlineStr">
        <is>
          <t>15AC</t>
        </is>
      </c>
      <c r="B28" s="400" t="inlineStr">
        <is>
          <t>取紙組</t>
        </is>
      </c>
      <c r="C28" s="400" t="inlineStr">
        <is>
          <t>抽屜門把</t>
        </is>
      </c>
      <c r="D28" s="400" t="inlineStr">
        <is>
          <t>T6LJ56838200</t>
        </is>
      </c>
      <c r="E28" s="400" t="inlineStr">
        <is>
          <t>HNDL-CST-H370</t>
        </is>
      </c>
    </row>
    <row r="29">
      <c r="A29" s="400" t="inlineStr">
        <is>
          <t>15AC</t>
        </is>
      </c>
      <c r="B29" s="400" t="inlineStr">
        <is>
          <t>轉寫組</t>
        </is>
      </c>
      <c r="C29" s="400" t="inlineStr">
        <is>
          <t>轉寫皮帶</t>
        </is>
      </c>
      <c r="D29" s="400" t="inlineStr">
        <is>
          <t>T6LK50424000</t>
        </is>
      </c>
      <c r="E29" s="400" t="inlineStr">
        <is>
          <t>BELT-TBU-H370</t>
        </is>
      </c>
    </row>
    <row r="30">
      <c r="A30" s="401" t="inlineStr">
        <is>
          <t>05AC</t>
        </is>
      </c>
      <c r="B30" s="400" t="inlineStr">
        <is>
          <t>滾筒組</t>
        </is>
      </c>
      <c r="C30" s="400" t="inlineStr">
        <is>
          <t xml:space="preserve">回收盒             </t>
        </is>
      </c>
      <c r="D30" s="400" t="inlineStr">
        <is>
          <t>TTBFC505</t>
        </is>
      </c>
      <c r="E30" s="400" t="inlineStr">
        <is>
          <t>PS-TBFC505C</t>
        </is>
      </c>
    </row>
    <row r="31">
      <c r="A31" s="401" t="inlineStr">
        <is>
          <t>05AC</t>
        </is>
      </c>
      <c r="B31" s="400" t="inlineStr">
        <is>
          <t>滾筒組</t>
        </is>
      </c>
      <c r="C31" s="400" t="inlineStr">
        <is>
          <t>滾筒(黑)</t>
        </is>
      </c>
      <c r="D31" s="400" t="inlineStr">
        <is>
          <t>T6LK49015000</t>
        </is>
      </c>
      <c r="E31" s="400" t="inlineStr">
        <is>
          <t>OD-FC505</t>
        </is>
      </c>
    </row>
    <row r="32">
      <c r="A32" s="401" t="inlineStr">
        <is>
          <t>05AC</t>
        </is>
      </c>
      <c r="B32" s="400" t="inlineStr">
        <is>
          <t>滾筒組</t>
        </is>
      </c>
      <c r="C32" s="400" t="inlineStr">
        <is>
          <t>滾筒(彩)</t>
        </is>
      </c>
      <c r="D32" s="400" t="inlineStr">
        <is>
          <t>T6LJ70598000</t>
        </is>
      </c>
      <c r="E32" s="400" t="inlineStr">
        <is>
          <t>OD-FC50</t>
        </is>
      </c>
    </row>
    <row r="33">
      <c r="A33" s="401" t="inlineStr">
        <is>
          <t>05AC</t>
        </is>
      </c>
      <c r="B33" s="400" t="inlineStr">
        <is>
          <t>滾筒組</t>
        </is>
      </c>
      <c r="C33" s="400" t="inlineStr">
        <is>
          <t>滾筒刮片</t>
        </is>
      </c>
      <c r="D33" s="400" t="inlineStr">
        <is>
          <t>T6LK49077000</t>
        </is>
      </c>
      <c r="E33" s="400" t="inlineStr">
        <is>
          <t>BL-FC200D</t>
        </is>
      </c>
    </row>
    <row r="34">
      <c r="A34" s="401" t="inlineStr">
        <is>
          <t>05AC</t>
        </is>
      </c>
      <c r="B34" s="400" t="inlineStr">
        <is>
          <t>滾筒組</t>
        </is>
      </c>
      <c r="C34" s="400" t="inlineStr">
        <is>
          <t>回收刮片</t>
        </is>
      </c>
      <c r="D34" s="400" t="inlineStr">
        <is>
          <t>T6LJ54029000</t>
        </is>
      </c>
      <c r="E34" s="400" t="inlineStr">
        <is>
          <t>BLADE-REC-H21X</t>
        </is>
      </c>
    </row>
    <row r="35">
      <c r="A35" s="401" t="inlineStr">
        <is>
          <t>05AC</t>
        </is>
      </c>
      <c r="B35" s="400" t="inlineStr">
        <is>
          <t>滾筒組</t>
        </is>
      </c>
      <c r="C35" s="400" t="inlineStr">
        <is>
          <t>鐵粉(黑)</t>
        </is>
      </c>
      <c r="D35" s="400" t="inlineStr">
        <is>
          <t>T6LK49016300</t>
        </is>
      </c>
      <c r="E35" s="400" t="inlineStr">
        <is>
          <t>D-FC505-K</t>
        </is>
      </c>
    </row>
    <row r="36">
      <c r="A36" s="401" t="inlineStr">
        <is>
          <t>05AC</t>
        </is>
      </c>
      <c r="B36" s="400" t="inlineStr">
        <is>
          <t>滾筒組</t>
        </is>
      </c>
      <c r="C36" s="400" t="inlineStr">
        <is>
          <t>鐵粉(黃)</t>
        </is>
      </c>
      <c r="D36" s="400" t="inlineStr">
        <is>
          <t>T6LK49016000</t>
        </is>
      </c>
      <c r="E36" s="400" t="inlineStr">
        <is>
          <t>D-FC505-Y</t>
        </is>
      </c>
    </row>
    <row r="37">
      <c r="A37" s="401" t="inlineStr">
        <is>
          <t>05AC</t>
        </is>
      </c>
      <c r="B37" s="400" t="inlineStr">
        <is>
          <t>滾筒組</t>
        </is>
      </c>
      <c r="C37" s="400" t="inlineStr">
        <is>
          <t>鐵粉(紅)</t>
        </is>
      </c>
      <c r="D37" s="400" t="inlineStr">
        <is>
          <t>T6LK49016100</t>
        </is>
      </c>
      <c r="E37" s="400" t="inlineStr">
        <is>
          <t>D-FC505-M</t>
        </is>
      </c>
    </row>
    <row r="38">
      <c r="A38" s="401" t="inlineStr">
        <is>
          <t>05AC</t>
        </is>
      </c>
      <c r="B38" s="400" t="inlineStr">
        <is>
          <t>滾筒組</t>
        </is>
      </c>
      <c r="C38" s="400" t="inlineStr">
        <is>
          <t>鐵粉(藍)</t>
        </is>
      </c>
      <c r="D38" s="400" t="inlineStr">
        <is>
          <t>T6LK49016200</t>
        </is>
      </c>
      <c r="E38" s="400" t="inlineStr">
        <is>
          <t>D-FC505-C</t>
        </is>
      </c>
    </row>
    <row r="39">
      <c r="A39" s="401" t="inlineStr">
        <is>
          <t>05AC</t>
        </is>
      </c>
      <c r="B39" s="400" t="inlineStr">
        <is>
          <t>顯像組</t>
        </is>
      </c>
      <c r="C39" s="400" t="inlineStr">
        <is>
          <t>攪拌棒(無刷片)</t>
        </is>
      </c>
      <c r="D39" s="400" t="inlineStr">
        <is>
          <t>T6LK49199000</t>
        </is>
      </c>
      <c r="E39" s="400" t="inlineStr">
        <is>
          <t>MIXER-DEV-SPLR-H373-PBF</t>
        </is>
      </c>
    </row>
    <row r="40">
      <c r="A40" s="401" t="inlineStr">
        <is>
          <t>05AC</t>
        </is>
      </c>
      <c r="B40" s="400" t="inlineStr">
        <is>
          <t>顯像組</t>
        </is>
      </c>
      <c r="C40" s="400" t="inlineStr">
        <is>
          <t>攪拌棒(偵測器)</t>
        </is>
      </c>
      <c r="D40" s="400" t="inlineStr">
        <is>
          <t>T6LK49191000</t>
        </is>
      </c>
      <c r="E40" s="400" t="inlineStr">
        <is>
          <t>ASYS-MIXR-DEV-AGIR-H373</t>
        </is>
      </c>
    </row>
    <row r="41">
      <c r="A41" s="401" t="inlineStr">
        <is>
          <t>05AC</t>
        </is>
      </c>
      <c r="B41" s="400" t="inlineStr">
        <is>
          <t>顯像組</t>
        </is>
      </c>
      <c r="C41" s="400" t="inlineStr">
        <is>
          <t>顯像齒輪(小)</t>
        </is>
      </c>
      <c r="D41" s="400" t="inlineStr">
        <is>
          <t>T6LK48905000</t>
        </is>
      </c>
      <c r="E41" s="400" t="inlineStr">
        <is>
          <t>GEAR-04H-29-9-MIX-AG-H373</t>
        </is>
      </c>
    </row>
    <row r="42">
      <c r="A42" s="401" t="inlineStr">
        <is>
          <t>05AC</t>
        </is>
      </c>
      <c r="B42" s="400" t="inlineStr">
        <is>
          <t>顯像組</t>
        </is>
      </c>
      <c r="C42" s="400" t="inlineStr">
        <is>
          <t>顯像齒輪(中-低)</t>
        </is>
      </c>
      <c r="D42" s="400" t="inlineStr">
        <is>
          <t>T6LK48908000</t>
        </is>
      </c>
      <c r="E42" s="400" t="inlineStr">
        <is>
          <t>GEAR-04H-42-6-IDLE-H373</t>
        </is>
      </c>
    </row>
    <row r="43">
      <c r="A43" s="401" t="inlineStr">
        <is>
          <t>05AC</t>
        </is>
      </c>
      <c r="B43" s="400" t="inlineStr">
        <is>
          <t>顯像組</t>
        </is>
      </c>
      <c r="C43" s="400" t="inlineStr">
        <is>
          <t>顯像齒輪(中-高)</t>
        </is>
      </c>
      <c r="D43" s="400" t="inlineStr">
        <is>
          <t>T6LK48939000</t>
        </is>
      </c>
      <c r="E43" s="400" t="inlineStr">
        <is>
          <t>ASYS-GEAR-IDLE-H376</t>
        </is>
      </c>
    </row>
    <row r="44">
      <c r="A44" s="401" t="inlineStr">
        <is>
          <t>05AC</t>
        </is>
      </c>
      <c r="B44" s="400" t="inlineStr">
        <is>
          <t>顯像組</t>
        </is>
      </c>
      <c r="C44" s="400" t="inlineStr">
        <is>
          <t>顯像齒輪(大)</t>
        </is>
      </c>
      <c r="D44" s="400" t="inlineStr">
        <is>
          <t>T6LK48906000</t>
        </is>
      </c>
      <c r="E44" s="400" t="inlineStr">
        <is>
          <t>GEAR-04H-29-9-MIX-SP-H373</t>
        </is>
      </c>
    </row>
    <row r="45">
      <c r="A45" s="401" t="inlineStr">
        <is>
          <t>05AC</t>
        </is>
      </c>
      <c r="B45" s="400" t="inlineStr">
        <is>
          <t>顯像組</t>
        </is>
      </c>
      <c r="C45" s="400" t="inlineStr">
        <is>
          <t>攪拌棒(油封)</t>
        </is>
      </c>
      <c r="D45" s="400" t="n">
        <v>4401949290</v>
      </c>
      <c r="E45" s="400" t="inlineStr">
        <is>
          <t>SEAL-VC6-10-2.5</t>
        </is>
      </c>
    </row>
    <row r="46">
      <c r="A46" s="401" t="inlineStr">
        <is>
          <t>05AC</t>
        </is>
      </c>
      <c r="B46" s="400" t="inlineStr">
        <is>
          <t>顯像組</t>
        </is>
      </c>
      <c r="C46" s="400" t="inlineStr">
        <is>
          <t>攪拌棒(導輪)</t>
        </is>
      </c>
      <c r="D46" s="400" t="inlineStr">
        <is>
          <t>F0-01959000</t>
        </is>
      </c>
      <c r="E46" s="400" t="inlineStr">
        <is>
          <t>L1260 2RS-SH44M-GV22</t>
        </is>
      </c>
    </row>
    <row r="47">
      <c r="A47" s="401" t="inlineStr">
        <is>
          <t>05AC</t>
        </is>
      </c>
      <c r="B47" s="400" t="inlineStr">
        <is>
          <t>定著組</t>
        </is>
      </c>
      <c r="C47" s="400" t="inlineStr">
        <is>
          <t>下熱滾軸</t>
        </is>
      </c>
      <c r="D47" s="400" t="inlineStr">
        <is>
          <t>T6LK55468000</t>
        </is>
      </c>
      <c r="E47" s="400" t="inlineStr">
        <is>
          <t>PR-FC505</t>
        </is>
      </c>
    </row>
    <row r="48">
      <c r="A48" s="401" t="inlineStr">
        <is>
          <t>05AC</t>
        </is>
      </c>
      <c r="B48" s="400" t="inlineStr">
        <is>
          <t>定著組</t>
        </is>
      </c>
      <c r="C48" s="400" t="inlineStr">
        <is>
          <t>上熱皮帶(低)</t>
        </is>
      </c>
      <c r="D48" s="400" t="inlineStr">
        <is>
          <t>T6LK56853000</t>
        </is>
      </c>
      <c r="E48" s="400" t="inlineStr">
        <is>
          <t>BT-FC505</t>
        </is>
      </c>
    </row>
    <row r="49">
      <c r="A49" s="401" t="inlineStr">
        <is>
          <t>05AC</t>
        </is>
      </c>
      <c r="B49" s="400" t="inlineStr">
        <is>
          <t>定著組</t>
        </is>
      </c>
      <c r="C49" s="400" t="inlineStr">
        <is>
          <t>上熱皮帶(高)</t>
        </is>
      </c>
      <c r="D49" s="400" t="inlineStr">
        <is>
          <t>T6LK56854000</t>
        </is>
      </c>
      <c r="E49" s="400" t="inlineStr">
        <is>
          <t>BT-FC505H</t>
        </is>
      </c>
    </row>
    <row r="50">
      <c r="A50" s="401" t="inlineStr">
        <is>
          <t>05AC</t>
        </is>
      </c>
      <c r="B50" s="400" t="inlineStr">
        <is>
          <t>定著組</t>
        </is>
      </c>
      <c r="C50" s="400" t="inlineStr">
        <is>
          <t>油布</t>
        </is>
      </c>
      <c r="D50" s="400" t="inlineStr">
        <is>
          <t>T6LJ58874000</t>
        </is>
      </c>
      <c r="E50" s="400" t="inlineStr">
        <is>
          <t>SHEET-PAD-BELT</t>
        </is>
      </c>
    </row>
    <row r="51">
      <c r="A51" s="401" t="inlineStr">
        <is>
          <t>05AC</t>
        </is>
      </c>
      <c r="B51" s="400" t="inlineStr">
        <is>
          <t>定著組</t>
        </is>
      </c>
      <c r="C51" s="400" t="inlineStr">
        <is>
          <t>加熱棒(低)</t>
        </is>
      </c>
      <c r="D51" s="400" t="inlineStr">
        <is>
          <t>T6LK55470000</t>
        </is>
      </c>
      <c r="E51" s="400" t="inlineStr">
        <is>
          <t>BELT-HLDUNIT-H373</t>
        </is>
      </c>
    </row>
    <row r="52">
      <c r="A52" s="401" t="inlineStr">
        <is>
          <t>05AC</t>
        </is>
      </c>
      <c r="B52" s="400" t="inlineStr">
        <is>
          <t>定著組</t>
        </is>
      </c>
      <c r="C52" s="400" t="inlineStr">
        <is>
          <t>加熱棒(高)</t>
        </is>
      </c>
      <c r="D52" s="400" t="inlineStr">
        <is>
          <t>T6LK55469000</t>
        </is>
      </c>
      <c r="E52" s="400" t="inlineStr">
        <is>
          <t>BELT-HLDUNIT-H376</t>
        </is>
      </c>
    </row>
    <row r="53">
      <c r="A53" s="401" t="inlineStr">
        <is>
          <t>05AC</t>
        </is>
      </c>
      <c r="B53" s="400" t="inlineStr">
        <is>
          <t>取紙組</t>
        </is>
      </c>
      <c r="C53" s="400" t="inlineStr">
        <is>
          <t>取紙輪</t>
        </is>
      </c>
      <c r="D53" s="400" t="inlineStr">
        <is>
          <t>T6LJ56242000</t>
        </is>
      </c>
      <c r="E53" s="400" t="inlineStr">
        <is>
          <t>ASYS-ROLL-FEED-H21X_H</t>
        </is>
      </c>
    </row>
    <row r="54">
      <c r="A54" s="401" t="inlineStr">
        <is>
          <t>05AC</t>
        </is>
      </c>
      <c r="B54" s="400" t="inlineStr">
        <is>
          <t>取紙組</t>
        </is>
      </c>
      <c r="C54" s="400" t="inlineStr">
        <is>
          <t>送紙輪</t>
        </is>
      </c>
      <c r="D54" s="400" t="inlineStr">
        <is>
          <t>T6LK50739000</t>
        </is>
      </c>
      <c r="E54" s="400" t="inlineStr">
        <is>
          <t>ASYS-ROLL-FEED-H373</t>
        </is>
      </c>
    </row>
    <row r="55">
      <c r="A55" s="401" t="inlineStr">
        <is>
          <t>05AC</t>
        </is>
      </c>
      <c r="B55" s="400" t="inlineStr">
        <is>
          <t>取紙組</t>
        </is>
      </c>
      <c r="C55" s="400" t="inlineStr">
        <is>
          <t>分離輪</t>
        </is>
      </c>
      <c r="D55" s="400" t="inlineStr">
        <is>
          <t>T6LK50742000</t>
        </is>
      </c>
      <c r="E55" s="400" t="inlineStr">
        <is>
          <t>ASYS-ROLL-SPT-H373</t>
        </is>
      </c>
    </row>
    <row r="56">
      <c r="A56" s="401" t="inlineStr">
        <is>
          <t>05AC</t>
        </is>
      </c>
      <c r="B56" s="400" t="inlineStr">
        <is>
          <t>取紙組</t>
        </is>
      </c>
      <c r="C56" s="400" t="inlineStr">
        <is>
          <t>抽屜門把</t>
        </is>
      </c>
      <c r="D56" s="400" t="inlineStr">
        <is>
          <t>T6LJ56838200</t>
        </is>
      </c>
      <c r="E56" s="400" t="inlineStr">
        <is>
          <t>HNDL-CST-H370</t>
        </is>
      </c>
    </row>
    <row r="57">
      <c r="A57" s="401" t="inlineStr">
        <is>
          <t>05AC</t>
        </is>
      </c>
      <c r="B57" s="400" t="inlineStr">
        <is>
          <t>轉寫組</t>
        </is>
      </c>
      <c r="C57" s="400" t="inlineStr">
        <is>
          <t>轉寫皮帶</t>
        </is>
      </c>
      <c r="D57" s="400" t="inlineStr">
        <is>
          <t>T6LK50424000</t>
        </is>
      </c>
      <c r="E57" s="400" t="inlineStr">
        <is>
          <t>BELT-TBU-H370</t>
        </is>
      </c>
    </row>
    <row r="58">
      <c r="A58" s="400" t="inlineStr">
        <is>
          <t>25AC</t>
        </is>
      </c>
      <c r="B58" s="400" t="inlineStr">
        <is>
          <t>滾筒組</t>
        </is>
      </c>
      <c r="C58" s="400" t="inlineStr">
        <is>
          <t xml:space="preserve">回收盒             </t>
        </is>
      </c>
      <c r="D58" s="400" t="inlineStr">
        <is>
          <t>TTBFC425C</t>
        </is>
      </c>
      <c r="E58" s="400" t="inlineStr">
        <is>
          <t>PS-TBFC425C</t>
        </is>
      </c>
    </row>
    <row r="59">
      <c r="A59" s="400" t="inlineStr">
        <is>
          <t>25AC</t>
        </is>
      </c>
      <c r="B59" s="400" t="inlineStr">
        <is>
          <t>滾筒組</t>
        </is>
      </c>
      <c r="C59" s="400" t="inlineStr">
        <is>
          <t>滾筒(黑)</t>
        </is>
      </c>
      <c r="D59" s="400" t="inlineStr">
        <is>
          <t>T6LK49015000</t>
        </is>
      </c>
      <c r="E59" s="400" t="inlineStr">
        <is>
          <t>OD-FC505</t>
        </is>
      </c>
    </row>
    <row r="60">
      <c r="A60" s="400" t="inlineStr">
        <is>
          <t>25AC</t>
        </is>
      </c>
      <c r="B60" s="400" t="inlineStr">
        <is>
          <t>滾筒組</t>
        </is>
      </c>
      <c r="C60" s="400" t="inlineStr">
        <is>
          <t>滾筒(彩)</t>
        </is>
      </c>
      <c r="D60" s="400" t="inlineStr">
        <is>
          <t>T6LJ70598000</t>
        </is>
      </c>
      <c r="E60" s="400" t="inlineStr">
        <is>
          <t>OD-FC50</t>
        </is>
      </c>
    </row>
    <row r="61">
      <c r="A61" s="400" t="inlineStr">
        <is>
          <t>25AC</t>
        </is>
      </c>
      <c r="B61" s="400" t="inlineStr">
        <is>
          <t>滾筒組</t>
        </is>
      </c>
      <c r="C61" s="400" t="inlineStr">
        <is>
          <t>滾筒刮片</t>
        </is>
      </c>
      <c r="D61" s="400" t="inlineStr">
        <is>
          <t>T6LK49077000</t>
        </is>
      </c>
      <c r="E61" s="400" t="inlineStr">
        <is>
          <t>BL-FC200D</t>
        </is>
      </c>
    </row>
    <row r="62">
      <c r="A62" s="400" t="inlineStr">
        <is>
          <t>25AC</t>
        </is>
      </c>
      <c r="B62" s="400" t="inlineStr">
        <is>
          <t>滾筒組</t>
        </is>
      </c>
      <c r="C62" s="400" t="inlineStr">
        <is>
          <t>回收刮片</t>
        </is>
      </c>
      <c r="D62" s="400" t="inlineStr">
        <is>
          <t>T6LJ54029000</t>
        </is>
      </c>
      <c r="E62" s="400" t="inlineStr">
        <is>
          <t>BLADE-REC-H21X</t>
        </is>
      </c>
    </row>
    <row r="63">
      <c r="A63" s="400" t="inlineStr">
        <is>
          <t>25AC</t>
        </is>
      </c>
      <c r="B63" s="400" t="inlineStr">
        <is>
          <t>滾筒組</t>
        </is>
      </c>
      <c r="C63" s="400" t="inlineStr">
        <is>
          <t>鐵粉(黑)</t>
        </is>
      </c>
      <c r="D63" s="400" t="inlineStr">
        <is>
          <t>T6LL51735300</t>
        </is>
      </c>
      <c r="E63" s="400" t="inlineStr">
        <is>
          <t>D-FC425-K</t>
        </is>
      </c>
    </row>
    <row r="64">
      <c r="A64" s="400" t="inlineStr">
        <is>
          <t>25AC</t>
        </is>
      </c>
      <c r="B64" s="400" t="inlineStr">
        <is>
          <t>滾筒組</t>
        </is>
      </c>
      <c r="C64" s="400" t="inlineStr">
        <is>
          <t>鐵粉(黃)</t>
        </is>
      </c>
      <c r="D64" s="400" t="inlineStr">
        <is>
          <t>T6LL51735000</t>
        </is>
      </c>
      <c r="E64" s="400" t="inlineStr">
        <is>
          <t>D-FC425-Y</t>
        </is>
      </c>
    </row>
    <row r="65">
      <c r="A65" s="400" t="inlineStr">
        <is>
          <t>25AC</t>
        </is>
      </c>
      <c r="B65" s="400" t="inlineStr">
        <is>
          <t>滾筒組</t>
        </is>
      </c>
      <c r="C65" s="400" t="inlineStr">
        <is>
          <t>鐵粉(紅)</t>
        </is>
      </c>
      <c r="D65" s="400" t="inlineStr">
        <is>
          <t>T6LL51735100</t>
        </is>
      </c>
      <c r="E65" s="400" t="inlineStr">
        <is>
          <t>D-FC425-M</t>
        </is>
      </c>
    </row>
    <row r="66">
      <c r="A66" s="400" t="inlineStr">
        <is>
          <t>25AC</t>
        </is>
      </c>
      <c r="B66" s="400" t="inlineStr">
        <is>
          <t>滾筒組</t>
        </is>
      </c>
      <c r="C66" s="400" t="inlineStr">
        <is>
          <t>鐵粉(藍)</t>
        </is>
      </c>
      <c r="D66" s="400" t="inlineStr">
        <is>
          <t>T6LL51735200</t>
        </is>
      </c>
      <c r="E66" s="400" t="inlineStr">
        <is>
          <t>D-FC425-C</t>
        </is>
      </c>
    </row>
    <row r="67">
      <c r="A67" s="400" t="inlineStr">
        <is>
          <t>25AC</t>
        </is>
      </c>
      <c r="B67" s="400" t="inlineStr">
        <is>
          <t>顯像組</t>
        </is>
      </c>
      <c r="C67" s="400" t="inlineStr">
        <is>
          <t>攪拌棒(無刷片)</t>
        </is>
      </c>
      <c r="D67" s="400" t="inlineStr">
        <is>
          <t>T6LL43329000</t>
        </is>
      </c>
      <c r="E67" s="400" t="inlineStr">
        <is>
          <t>MIXER-DEV-SPLR-K163</t>
        </is>
      </c>
    </row>
    <row r="68">
      <c r="A68" s="400" t="inlineStr">
        <is>
          <t>25AC</t>
        </is>
      </c>
      <c r="B68" s="400" t="inlineStr">
        <is>
          <t>顯像組</t>
        </is>
      </c>
      <c r="C68" s="400" t="inlineStr">
        <is>
          <t>攪拌棒(偵測器)</t>
        </is>
      </c>
      <c r="D68" s="400" t="inlineStr">
        <is>
          <t>T6LL43327000</t>
        </is>
      </c>
      <c r="E68" s="400" t="inlineStr">
        <is>
          <t>ASYS-MIXR-DEV-AGIR-K163</t>
        </is>
      </c>
    </row>
    <row r="69">
      <c r="A69" s="400" t="inlineStr">
        <is>
          <t>25AC</t>
        </is>
      </c>
      <c r="B69" s="400" t="inlineStr">
        <is>
          <t>顯像組</t>
        </is>
      </c>
      <c r="C69" s="400" t="inlineStr">
        <is>
          <t>顯像齒輪(小)</t>
        </is>
      </c>
      <c r="D69" s="400" t="inlineStr">
        <is>
          <t>T6LL43309000</t>
        </is>
      </c>
      <c r="E69" s="400" t="inlineStr">
        <is>
          <t>GEAR-04H-33-9-MIX-AG-K163</t>
        </is>
      </c>
    </row>
    <row r="70">
      <c r="A70" s="400" t="inlineStr">
        <is>
          <t>25AC</t>
        </is>
      </c>
      <c r="B70" s="400" t="inlineStr">
        <is>
          <t>顯像組</t>
        </is>
      </c>
      <c r="C70" s="400" t="inlineStr">
        <is>
          <t>顯像齒輪(中-低)</t>
        </is>
      </c>
      <c r="D70" s="400" t="inlineStr">
        <is>
          <t>T6LL43341000</t>
        </is>
      </c>
      <c r="E70" s="400" t="inlineStr">
        <is>
          <t>GEAR-04H-44-IDLE-K163</t>
        </is>
      </c>
    </row>
    <row r="71">
      <c r="A71" s="400" t="inlineStr">
        <is>
          <t>25AC</t>
        </is>
      </c>
      <c r="B71" s="400" t="inlineStr">
        <is>
          <t>顯像組</t>
        </is>
      </c>
      <c r="C71" s="400" t="inlineStr">
        <is>
          <t>顯像齒輪(中-高)</t>
        </is>
      </c>
      <c r="D71" s="400" t="inlineStr">
        <is>
          <t>T6LL05823000</t>
        </is>
      </c>
      <c r="E71" s="400" t="inlineStr">
        <is>
          <t>ASYS-GEAR-IDL-H44X</t>
        </is>
      </c>
    </row>
    <row r="72">
      <c r="A72" s="400" t="inlineStr">
        <is>
          <t>25AC</t>
        </is>
      </c>
      <c r="B72" s="400" t="inlineStr">
        <is>
          <t>顯像組</t>
        </is>
      </c>
      <c r="C72" s="400" t="inlineStr">
        <is>
          <t>顯像齒輪(大)</t>
        </is>
      </c>
      <c r="D72" s="400" t="inlineStr">
        <is>
          <t>T6LL43310000</t>
        </is>
      </c>
      <c r="E72" s="400" t="inlineStr">
        <is>
          <t>GEAR-04H-33-9-MIX-SP-K163</t>
        </is>
      </c>
    </row>
    <row r="73">
      <c r="A73" s="400" t="inlineStr">
        <is>
          <t>25AC</t>
        </is>
      </c>
      <c r="B73" s="400" t="inlineStr">
        <is>
          <t>顯像組</t>
        </is>
      </c>
      <c r="C73" s="400" t="inlineStr">
        <is>
          <t>油封+導輪</t>
        </is>
      </c>
      <c r="D73" s="400" t="inlineStr">
        <is>
          <t>T6LL05816000</t>
        </is>
      </c>
      <c r="E73" s="400" t="inlineStr">
        <is>
          <t>ASYS-BUSH-MIX-H44X</t>
        </is>
      </c>
    </row>
    <row r="74">
      <c r="A74" s="400" t="inlineStr">
        <is>
          <t>25AC</t>
        </is>
      </c>
      <c r="B74" s="400" t="inlineStr">
        <is>
          <t>定著組</t>
        </is>
      </c>
      <c r="C74" s="400" t="inlineStr">
        <is>
          <t>下熱滾軸(低)</t>
        </is>
      </c>
      <c r="D74" s="400" t="inlineStr">
        <is>
          <t>T6LL51806000</t>
        </is>
      </c>
      <c r="E74" s="400" t="inlineStr">
        <is>
          <t>PR-FC3525</t>
        </is>
      </c>
    </row>
    <row r="75">
      <c r="A75" s="400" t="inlineStr">
        <is>
          <t>25AC</t>
        </is>
      </c>
      <c r="B75" s="400" t="inlineStr">
        <is>
          <t>定著組</t>
        </is>
      </c>
      <c r="C75" s="400" t="inlineStr">
        <is>
          <t>下熱滾軸(高)</t>
        </is>
      </c>
      <c r="D75" s="400" t="inlineStr">
        <is>
          <t>T6LK55468000</t>
        </is>
      </c>
      <c r="E75" s="400" t="inlineStr">
        <is>
          <t>PR-FC505</t>
        </is>
      </c>
    </row>
    <row r="76">
      <c r="A76" s="400" t="inlineStr">
        <is>
          <t>25AC</t>
        </is>
      </c>
      <c r="B76" s="400" t="inlineStr">
        <is>
          <t>定著組</t>
        </is>
      </c>
      <c r="C76" s="400" t="inlineStr">
        <is>
          <t>上熱皮帶</t>
        </is>
      </c>
      <c r="D76" s="400" t="inlineStr">
        <is>
          <t>T6LL51855000</t>
        </is>
      </c>
      <c r="E76" s="400" t="inlineStr">
        <is>
          <t>BT-FC3525-C</t>
        </is>
      </c>
    </row>
    <row r="77">
      <c r="A77" s="400" t="inlineStr">
        <is>
          <t>25AC</t>
        </is>
      </c>
      <c r="B77" s="400" t="inlineStr">
        <is>
          <t>定著組</t>
        </is>
      </c>
      <c r="C77" s="400" t="inlineStr">
        <is>
          <t>油布</t>
        </is>
      </c>
      <c r="D77" s="400" t="inlineStr">
        <is>
          <t>T6LJ58874000</t>
        </is>
      </c>
      <c r="E77" s="400" t="inlineStr">
        <is>
          <t>SHEET-PAD-BELT</t>
        </is>
      </c>
    </row>
    <row r="78">
      <c r="A78" s="400" t="inlineStr">
        <is>
          <t>25AC</t>
        </is>
      </c>
      <c r="B78" s="400" t="inlineStr">
        <is>
          <t>定著組</t>
        </is>
      </c>
      <c r="C78" s="400" t="inlineStr">
        <is>
          <t>加熱組件(IH)高</t>
        </is>
      </c>
      <c r="D78" s="400" t="inlineStr">
        <is>
          <t>T6LL51853000</t>
        </is>
      </c>
      <c r="E78" s="400" t="inlineStr">
        <is>
          <t>BELT-HLDUNIT-K166</t>
        </is>
      </c>
    </row>
    <row r="79">
      <c r="A79" s="400" t="inlineStr">
        <is>
          <t>25AC</t>
        </is>
      </c>
      <c r="B79" s="400" t="inlineStr">
        <is>
          <t>取紙組</t>
        </is>
      </c>
      <c r="C79" s="400" t="inlineStr">
        <is>
          <t>取紙輪</t>
        </is>
      </c>
      <c r="D79" s="400" t="inlineStr">
        <is>
          <t>T6LJ56242000</t>
        </is>
      </c>
      <c r="E79" s="400" t="inlineStr">
        <is>
          <t>ASYS-ROLL-FEED-H21X_H</t>
        </is>
      </c>
    </row>
    <row r="80">
      <c r="A80" s="400" t="inlineStr">
        <is>
          <t>25AC</t>
        </is>
      </c>
      <c r="B80" s="400" t="inlineStr">
        <is>
          <t>取紙組</t>
        </is>
      </c>
      <c r="C80" s="400" t="inlineStr">
        <is>
          <t>送紙輪</t>
        </is>
      </c>
      <c r="D80" s="400" t="inlineStr">
        <is>
          <t>T6LK50739000</t>
        </is>
      </c>
      <c r="E80" s="400" t="inlineStr">
        <is>
          <t>ASYS-ROLL-FEED-H373</t>
        </is>
      </c>
    </row>
    <row r="81">
      <c r="A81" s="400" t="inlineStr">
        <is>
          <t>25AC</t>
        </is>
      </c>
      <c r="B81" s="400" t="inlineStr">
        <is>
          <t>取紙組</t>
        </is>
      </c>
      <c r="C81" s="400" t="inlineStr">
        <is>
          <t>分離輪</t>
        </is>
      </c>
      <c r="D81" s="400" t="inlineStr">
        <is>
          <t>T6LK50742000</t>
        </is>
      </c>
      <c r="E81" s="400" t="inlineStr">
        <is>
          <t>ASYS-ROLL-SPT-H373</t>
        </is>
      </c>
    </row>
    <row r="82">
      <c r="A82" s="400" t="inlineStr">
        <is>
          <t>25AC</t>
        </is>
      </c>
      <c r="B82" s="400" t="inlineStr">
        <is>
          <t>取紙組</t>
        </is>
      </c>
      <c r="C82" s="400" t="inlineStr">
        <is>
          <t>抽屜門把</t>
        </is>
      </c>
      <c r="D82" s="400" t="inlineStr">
        <is>
          <t>T6LJ56838200</t>
        </is>
      </c>
      <c r="E82" s="400" t="inlineStr">
        <is>
          <t>HNDL-CST-H370</t>
        </is>
      </c>
    </row>
    <row r="83">
      <c r="A83" s="400" t="inlineStr">
        <is>
          <t>25AC</t>
        </is>
      </c>
      <c r="B83" s="400" t="inlineStr">
        <is>
          <t>轉寫組</t>
        </is>
      </c>
      <c r="C83" s="400" t="inlineStr">
        <is>
          <t>轉寫皮帶</t>
        </is>
      </c>
      <c r="D83" s="400" t="inlineStr">
        <is>
          <t>T6LK50424000</t>
        </is>
      </c>
      <c r="E83" s="400" t="inlineStr">
        <is>
          <t>BELT-TBU-H370</t>
        </is>
      </c>
    </row>
    <row r="84">
      <c r="A84" s="400" t="inlineStr">
        <is>
          <t>08、18A</t>
        </is>
      </c>
      <c r="B84" s="400" t="inlineStr">
        <is>
          <t>滾筒組</t>
        </is>
      </c>
      <c r="C84" s="400" t="inlineStr">
        <is>
          <t>滾筒</t>
        </is>
      </c>
      <c r="D84" s="400" t="inlineStr">
        <is>
          <t>T6LK28354000</t>
        </is>
      </c>
      <c r="E84" s="400" t="inlineStr">
        <is>
          <t>BL-2320D</t>
        </is>
      </c>
    </row>
    <row r="85">
      <c r="A85" s="400" t="inlineStr">
        <is>
          <t>08、18A</t>
        </is>
      </c>
      <c r="B85" s="400" t="inlineStr">
        <is>
          <t>滾筒組</t>
        </is>
      </c>
      <c r="C85" s="400" t="inlineStr">
        <is>
          <t>滾筒刮片</t>
        </is>
      </c>
      <c r="D85" s="400" t="inlineStr">
        <is>
          <t>T6LL39101000</t>
        </is>
      </c>
      <c r="E85" s="400" t="inlineStr">
        <is>
          <t>BL-FC200D</t>
        </is>
      </c>
    </row>
    <row r="86">
      <c r="A86" s="400" t="inlineStr">
        <is>
          <t>08、18A</t>
        </is>
      </c>
      <c r="B86" s="400" t="inlineStr">
        <is>
          <t>滾筒組</t>
        </is>
      </c>
      <c r="C86" s="400" t="inlineStr">
        <is>
          <t>回收刮片</t>
        </is>
      </c>
      <c r="D86" s="400" t="inlineStr">
        <is>
          <t>T6LE54020000</t>
        </is>
      </c>
      <c r="E86" s="400" t="inlineStr">
        <is>
          <t>BLADE-REC</t>
        </is>
      </c>
    </row>
    <row r="87">
      <c r="A87" s="400" t="inlineStr">
        <is>
          <t>08、18A</t>
        </is>
      </c>
      <c r="B87" s="400" t="inlineStr">
        <is>
          <t>滾筒組</t>
        </is>
      </c>
      <c r="C87" s="400" t="inlineStr">
        <is>
          <t>鐵粉</t>
        </is>
      </c>
      <c r="D87" s="400" t="inlineStr">
        <is>
          <t>T6LK28272000</t>
        </is>
      </c>
      <c r="E87" s="400" t="inlineStr">
        <is>
          <t>D-5070</t>
        </is>
      </c>
    </row>
    <row r="88">
      <c r="A88" s="400" t="inlineStr">
        <is>
          <t>08、18A</t>
        </is>
      </c>
      <c r="B88" s="400" t="inlineStr">
        <is>
          <t>顯像組</t>
        </is>
      </c>
      <c r="C88" s="400" t="inlineStr">
        <is>
          <t>攪拌棒(前)</t>
        </is>
      </c>
      <c r="D88" s="400" t="inlineStr">
        <is>
          <t>T6LA81635000</t>
        </is>
      </c>
      <c r="E88" s="400" t="inlineStr">
        <is>
          <t>MIXER-1-371</t>
        </is>
      </c>
    </row>
    <row r="89">
      <c r="A89" s="400" t="inlineStr">
        <is>
          <t>08、18A</t>
        </is>
      </c>
      <c r="B89" s="400" t="inlineStr">
        <is>
          <t>顯像組</t>
        </is>
      </c>
      <c r="C89" s="400" t="inlineStr">
        <is>
          <t>攪拌棒(中)</t>
        </is>
      </c>
      <c r="D89" s="400" t="inlineStr">
        <is>
          <t>T6LH23230000</t>
        </is>
      </c>
      <c r="E89" s="400" t="inlineStr">
        <is>
          <t>ASYS-MIXER-2-284</t>
        </is>
      </c>
    </row>
    <row r="90">
      <c r="A90" s="400" t="inlineStr">
        <is>
          <t>08、18A</t>
        </is>
      </c>
      <c r="B90" s="400" t="inlineStr">
        <is>
          <t>顯像組</t>
        </is>
      </c>
      <c r="C90" s="400" t="inlineStr">
        <is>
          <t>攪拌棒(後)</t>
        </is>
      </c>
      <c r="D90" s="400" t="inlineStr">
        <is>
          <t>T6LH23233000</t>
        </is>
      </c>
      <c r="E90" s="400" t="inlineStr">
        <is>
          <t>MIXER-3-284</t>
        </is>
      </c>
    </row>
    <row r="91">
      <c r="A91" s="400" t="inlineStr">
        <is>
          <t>08、18A</t>
        </is>
      </c>
      <c r="B91" s="400" t="inlineStr">
        <is>
          <t>顯像組</t>
        </is>
      </c>
      <c r="C91" s="400" t="inlineStr">
        <is>
          <t>皮帶齒輪(低)</t>
        </is>
      </c>
      <c r="D91" s="400" t="inlineStr">
        <is>
          <t>T6LH53413000</t>
        </is>
      </c>
      <c r="E91" s="400" t="inlineStr">
        <is>
          <t>PULLY-2GT22-6</t>
        </is>
      </c>
    </row>
    <row r="92">
      <c r="A92" s="400" t="inlineStr">
        <is>
          <t>08、18A</t>
        </is>
      </c>
      <c r="B92" s="400" t="inlineStr">
        <is>
          <t>顯像組</t>
        </is>
      </c>
      <c r="C92" s="400" t="inlineStr">
        <is>
          <t>皮帶齒輪(高)</t>
        </is>
      </c>
      <c r="D92" s="400" t="inlineStr">
        <is>
          <t>T6LH53434000</t>
        </is>
      </c>
      <c r="E92" s="400" t="inlineStr">
        <is>
          <t>PULLY-2GT22-6</t>
        </is>
      </c>
    </row>
    <row r="93">
      <c r="A93" s="400" t="inlineStr">
        <is>
          <t>08、18A</t>
        </is>
      </c>
      <c r="B93" s="400" t="inlineStr">
        <is>
          <t>顯像組</t>
        </is>
      </c>
      <c r="C93" s="400" t="inlineStr">
        <is>
          <t>皮帶(低)</t>
        </is>
      </c>
      <c r="D93" s="400" t="inlineStr">
        <is>
          <t>T6LH53427000</t>
        </is>
      </c>
      <c r="E93" s="400" t="inlineStr">
        <is>
          <t>BLT-T-2GT-88-40</t>
        </is>
      </c>
    </row>
    <row r="94">
      <c r="A94" s="400" t="inlineStr">
        <is>
          <t>08、18A</t>
        </is>
      </c>
      <c r="B94" s="400" t="inlineStr">
        <is>
          <t>顯像組</t>
        </is>
      </c>
      <c r="C94" s="400" t="inlineStr">
        <is>
          <t>皮帶(高)</t>
        </is>
      </c>
      <c r="D94" s="400" t="inlineStr">
        <is>
          <t>T6LH53416000</t>
        </is>
      </c>
      <c r="E94" s="400" t="inlineStr">
        <is>
          <t>BLT-T-2GT-100-40</t>
        </is>
      </c>
    </row>
    <row r="95">
      <c r="A95" s="400" t="inlineStr">
        <is>
          <t>08、18A</t>
        </is>
      </c>
      <c r="B95" s="400" t="inlineStr">
        <is>
          <t>顯像組</t>
        </is>
      </c>
      <c r="C95" s="400" t="inlineStr">
        <is>
          <t>皮帶惰輪</t>
        </is>
      </c>
      <c r="D95" s="400" t="inlineStr">
        <is>
          <t>T6LH53470000</t>
        </is>
      </c>
      <c r="E95" s="400" t="inlineStr">
        <is>
          <t>COLLER-DEV-TENS-470</t>
        </is>
      </c>
    </row>
    <row r="96">
      <c r="A96" s="400" t="inlineStr">
        <is>
          <t>08、18A</t>
        </is>
      </c>
      <c r="B96" s="400" t="inlineStr">
        <is>
          <t>定著組</t>
        </is>
      </c>
      <c r="C96" s="400" t="inlineStr">
        <is>
          <t>下熱滾軸(高)</t>
        </is>
      </c>
      <c r="D96" s="400" t="inlineStr">
        <is>
          <t>T6LK72101000</t>
        </is>
      </c>
      <c r="E96" s="400" t="inlineStr">
        <is>
          <t>HR-5008A-L</t>
        </is>
      </c>
    </row>
    <row r="97">
      <c r="A97" s="400" t="inlineStr">
        <is>
          <t>08、18A</t>
        </is>
      </c>
      <c r="B97" s="400" t="inlineStr">
        <is>
          <t>定著組</t>
        </is>
      </c>
      <c r="C97" s="400" t="inlineStr">
        <is>
          <t>下熱滾軸(低)</t>
        </is>
      </c>
      <c r="D97" s="400" t="inlineStr">
        <is>
          <t>T6LK72102000</t>
        </is>
      </c>
      <c r="E97" s="400" t="inlineStr">
        <is>
          <t>HR-3008A-L</t>
        </is>
      </c>
    </row>
    <row r="98">
      <c r="A98" s="400" t="inlineStr">
        <is>
          <t>08、18A</t>
        </is>
      </c>
      <c r="B98" s="400" t="inlineStr">
        <is>
          <t>定著組</t>
        </is>
      </c>
      <c r="C98" s="400" t="inlineStr">
        <is>
          <t>上熱滾軸</t>
        </is>
      </c>
      <c r="D98" s="400" t="inlineStr">
        <is>
          <t>T6LK72107000</t>
        </is>
      </c>
      <c r="E98" s="400" t="inlineStr">
        <is>
          <t>HR-5008A-U</t>
        </is>
      </c>
    </row>
    <row r="99">
      <c r="A99" s="400" t="inlineStr">
        <is>
          <t>08、18A</t>
        </is>
      </c>
      <c r="B99" s="400" t="inlineStr">
        <is>
          <t>定著組</t>
        </is>
      </c>
      <c r="C99" s="400" t="inlineStr">
        <is>
          <t>溫控</t>
        </is>
      </c>
      <c r="D99" s="400" t="inlineStr">
        <is>
          <t>T6LK72713000</t>
        </is>
      </c>
      <c r="E99" s="400" t="inlineStr">
        <is>
          <t>THMS-HTR-H413</t>
        </is>
      </c>
    </row>
    <row r="100">
      <c r="A100" s="400" t="inlineStr">
        <is>
          <t>08、18A</t>
        </is>
      </c>
      <c r="B100" s="400" t="inlineStr">
        <is>
          <t>定著組</t>
        </is>
      </c>
      <c r="C100" s="400" t="inlineStr">
        <is>
          <t>分離爪</t>
        </is>
      </c>
      <c r="D100" s="400" t="inlineStr">
        <is>
          <t>T6LE58405000</t>
        </is>
      </c>
      <c r="E100" s="400" t="inlineStr">
        <is>
          <t>SCRAPER-282</t>
        </is>
      </c>
    </row>
    <row r="101">
      <c r="A101" s="400" t="inlineStr">
        <is>
          <t>08、18A</t>
        </is>
      </c>
      <c r="B101" s="400" t="inlineStr">
        <is>
          <t>定著組</t>
        </is>
      </c>
      <c r="C101" s="400" t="inlineStr">
        <is>
          <t>上熱培林</t>
        </is>
      </c>
      <c r="D101" s="400" t="inlineStr">
        <is>
          <t>T6LK68071000</t>
        </is>
      </c>
      <c r="E101" s="400" t="inlineStr">
        <is>
          <t>6807ZZC4-GPL226</t>
        </is>
      </c>
    </row>
    <row r="102">
      <c r="A102" s="400" t="inlineStr">
        <is>
          <t>08、18A</t>
        </is>
      </c>
      <c r="B102" s="400" t="inlineStr">
        <is>
          <t>取紙組</t>
        </is>
      </c>
      <c r="C102" s="400" t="inlineStr">
        <is>
          <t>取紙輪</t>
        </is>
      </c>
      <c r="D102" s="400" t="inlineStr">
        <is>
          <t>T6LJ56242000</t>
        </is>
      </c>
      <c r="E102" s="400" t="inlineStr">
        <is>
          <t>ASYS-ROLL-FEED-H21X_H</t>
        </is>
      </c>
    </row>
    <row r="103">
      <c r="A103" s="400" t="inlineStr">
        <is>
          <t>08、18A</t>
        </is>
      </c>
      <c r="B103" s="400" t="inlineStr">
        <is>
          <t>取紙組</t>
        </is>
      </c>
      <c r="C103" s="400" t="inlineStr">
        <is>
          <t>送紙輪</t>
        </is>
      </c>
      <c r="D103" s="400" t="inlineStr">
        <is>
          <t>T6LK50739000</t>
        </is>
      </c>
      <c r="E103" s="400" t="inlineStr">
        <is>
          <t>ASYS-ROLL-FEED-H373</t>
        </is>
      </c>
    </row>
    <row r="104">
      <c r="A104" s="400" t="inlineStr">
        <is>
          <t>08、18A</t>
        </is>
      </c>
      <c r="B104" s="400" t="inlineStr">
        <is>
          <t>取紙組</t>
        </is>
      </c>
      <c r="C104" s="400" t="inlineStr">
        <is>
          <t>分離輪</t>
        </is>
      </c>
      <c r="D104" s="400" t="inlineStr">
        <is>
          <t>T6LK50742000</t>
        </is>
      </c>
      <c r="E104" s="400" t="inlineStr">
        <is>
          <t>ASYS-ROLL-SPT-H373</t>
        </is>
      </c>
    </row>
    <row r="105">
      <c r="A105" s="400" t="inlineStr">
        <is>
          <t>08、18A</t>
        </is>
      </c>
      <c r="B105" s="400" t="inlineStr">
        <is>
          <t>取紙組</t>
        </is>
      </c>
      <c r="C105" s="400" t="inlineStr">
        <is>
          <t>抽屜門把</t>
        </is>
      </c>
      <c r="D105" s="400" t="inlineStr">
        <is>
          <t>T6LJ56838200</t>
        </is>
      </c>
      <c r="E105" s="400" t="inlineStr">
        <is>
          <t>HNDL-CST-H370</t>
        </is>
      </c>
    </row>
    <row r="106">
      <c r="A106" s="400" t="inlineStr">
        <is>
          <t>28A</t>
        </is>
      </c>
      <c r="B106" s="400" t="inlineStr">
        <is>
          <t>滾筒組</t>
        </is>
      </c>
      <c r="C106" s="400" t="inlineStr">
        <is>
          <t>滾筒</t>
        </is>
      </c>
      <c r="D106" s="400" t="inlineStr">
        <is>
          <t>T6LL33301000</t>
        </is>
      </c>
      <c r="E106" s="400" t="inlineStr">
        <is>
          <t>OD-3028</t>
        </is>
      </c>
    </row>
    <row r="107">
      <c r="A107" s="400" t="inlineStr">
        <is>
          <t>28A</t>
        </is>
      </c>
      <c r="B107" s="400" t="inlineStr">
        <is>
          <t>滾筒組</t>
        </is>
      </c>
      <c r="C107" s="400" t="inlineStr">
        <is>
          <t>滾筒刮片</t>
        </is>
      </c>
      <c r="D107" s="400" t="inlineStr">
        <is>
          <t>T6LL39101000</t>
        </is>
      </c>
      <c r="E107" s="400" t="inlineStr">
        <is>
          <t>BL-FC200D</t>
        </is>
      </c>
    </row>
    <row r="108">
      <c r="A108" s="400" t="inlineStr">
        <is>
          <t>28A</t>
        </is>
      </c>
      <c r="B108" s="400" t="inlineStr">
        <is>
          <t>滾筒組</t>
        </is>
      </c>
      <c r="C108" s="400" t="inlineStr">
        <is>
          <t>回收刮片</t>
        </is>
      </c>
      <c r="D108" s="400" t="inlineStr">
        <is>
          <t>T6LE54020000</t>
        </is>
      </c>
      <c r="E108" s="400" t="inlineStr">
        <is>
          <t>BLADE-REC</t>
        </is>
      </c>
    </row>
    <row r="109">
      <c r="A109" s="400" t="inlineStr">
        <is>
          <t>28A</t>
        </is>
      </c>
      <c r="B109" s="400" t="inlineStr">
        <is>
          <t>滾筒組</t>
        </is>
      </c>
      <c r="C109" s="400" t="inlineStr">
        <is>
          <t>鐵粉</t>
        </is>
      </c>
      <c r="D109" s="400" t="inlineStr">
        <is>
          <t>T6LL37515000</t>
        </is>
      </c>
      <c r="E109" s="400" t="inlineStr">
        <is>
          <t>D-3028</t>
        </is>
      </c>
    </row>
    <row r="110">
      <c r="A110" s="400" t="inlineStr">
        <is>
          <t>28A</t>
        </is>
      </c>
      <c r="B110" s="400" t="inlineStr">
        <is>
          <t>顯像組</t>
        </is>
      </c>
      <c r="C110" s="400" t="inlineStr">
        <is>
          <t>攪拌棒(前)</t>
        </is>
      </c>
      <c r="D110" s="400" t="inlineStr">
        <is>
          <t>T6LA81635000</t>
        </is>
      </c>
      <c r="E110" s="400" t="inlineStr">
        <is>
          <t>MIXER-1-371</t>
        </is>
      </c>
    </row>
    <row r="111">
      <c r="A111" s="400" t="inlineStr">
        <is>
          <t>28A</t>
        </is>
      </c>
      <c r="B111" s="400" t="inlineStr">
        <is>
          <t>顯像組</t>
        </is>
      </c>
      <c r="C111" s="400" t="inlineStr">
        <is>
          <t>攪拌棒(中)</t>
        </is>
      </c>
      <c r="D111" s="400" t="inlineStr">
        <is>
          <t>T6LH23230000</t>
        </is>
      </c>
      <c r="E111" s="400" t="inlineStr">
        <is>
          <t>ASYS-MIXER-2-284</t>
        </is>
      </c>
    </row>
    <row r="112">
      <c r="A112" s="400" t="inlineStr">
        <is>
          <t>28A</t>
        </is>
      </c>
      <c r="B112" s="400" t="inlineStr">
        <is>
          <t>顯像組</t>
        </is>
      </c>
      <c r="C112" s="400" t="inlineStr">
        <is>
          <t>攪拌棒(後)</t>
        </is>
      </c>
      <c r="D112" s="400" t="inlineStr">
        <is>
          <t>T6LH23233000</t>
        </is>
      </c>
      <c r="E112" s="400" t="inlineStr">
        <is>
          <t>MIXER-3-284</t>
        </is>
      </c>
    </row>
    <row r="113">
      <c r="A113" s="400" t="inlineStr">
        <is>
          <t>28A</t>
        </is>
      </c>
      <c r="B113" s="400" t="inlineStr">
        <is>
          <t>顯像組</t>
        </is>
      </c>
      <c r="C113" s="400" t="inlineStr">
        <is>
          <t>皮帶齒輪(低)</t>
        </is>
      </c>
      <c r="D113" s="400" t="inlineStr">
        <is>
          <t>T6LH53413000</t>
        </is>
      </c>
      <c r="E113" s="400" t="inlineStr">
        <is>
          <t>PULLY-2GT22-6</t>
        </is>
      </c>
    </row>
    <row r="114">
      <c r="A114" s="400" t="inlineStr">
        <is>
          <t>28A</t>
        </is>
      </c>
      <c r="B114" s="400" t="inlineStr">
        <is>
          <t>顯像組</t>
        </is>
      </c>
      <c r="C114" s="400" t="inlineStr">
        <is>
          <t>皮帶齒輪(高)</t>
        </is>
      </c>
      <c r="D114" s="400" t="inlineStr">
        <is>
          <t>T6LH53434000</t>
        </is>
      </c>
      <c r="E114" s="400" t="inlineStr">
        <is>
          <t>PULLY-2GT22-6</t>
        </is>
      </c>
    </row>
    <row r="115">
      <c r="A115" s="400" t="inlineStr">
        <is>
          <t>28A</t>
        </is>
      </c>
      <c r="B115" s="400" t="inlineStr">
        <is>
          <t>顯像組</t>
        </is>
      </c>
      <c r="C115" s="400" t="inlineStr">
        <is>
          <t>皮帶(低)</t>
        </is>
      </c>
      <c r="D115" s="400" t="inlineStr">
        <is>
          <t>T6LH53427000</t>
        </is>
      </c>
      <c r="E115" s="400" t="inlineStr">
        <is>
          <t>BLT-T-2GT-88-40</t>
        </is>
      </c>
    </row>
    <row r="116">
      <c r="A116" s="400" t="inlineStr">
        <is>
          <t>28A</t>
        </is>
      </c>
      <c r="B116" s="400" t="inlineStr">
        <is>
          <t>顯像組</t>
        </is>
      </c>
      <c r="C116" s="400" t="inlineStr">
        <is>
          <t>皮帶(高)</t>
        </is>
      </c>
      <c r="D116" s="400" t="inlineStr">
        <is>
          <t>T6LH53416000</t>
        </is>
      </c>
      <c r="E116" s="400" t="inlineStr">
        <is>
          <t>BLT-T-2GT-100-40</t>
        </is>
      </c>
    </row>
    <row r="117">
      <c r="A117" s="400" t="inlineStr">
        <is>
          <t>28A</t>
        </is>
      </c>
      <c r="B117" s="400" t="inlineStr">
        <is>
          <t>顯像組</t>
        </is>
      </c>
      <c r="C117" s="400" t="inlineStr">
        <is>
          <t>皮帶惰輪</t>
        </is>
      </c>
      <c r="D117" s="400" t="inlineStr">
        <is>
          <t>T6LH53470000</t>
        </is>
      </c>
      <c r="E117" s="400" t="inlineStr">
        <is>
          <t>COLLER-DEV-TENS-470</t>
        </is>
      </c>
    </row>
    <row r="118">
      <c r="A118" s="400" t="inlineStr">
        <is>
          <t>28A</t>
        </is>
      </c>
      <c r="B118" s="400" t="inlineStr">
        <is>
          <t>定著組</t>
        </is>
      </c>
      <c r="C118" s="400" t="inlineStr">
        <is>
          <t>下熱滾軸(高)</t>
        </is>
      </c>
      <c r="D118" s="400" t="inlineStr">
        <is>
          <t>T6LK72101000</t>
        </is>
      </c>
      <c r="E118" s="400" t="inlineStr">
        <is>
          <t>HR-5008A-L</t>
        </is>
      </c>
    </row>
    <row r="119">
      <c r="A119" s="400" t="inlineStr">
        <is>
          <t>28A</t>
        </is>
      </c>
      <c r="B119" s="400" t="inlineStr">
        <is>
          <t>定著組</t>
        </is>
      </c>
      <c r="C119" s="400" t="inlineStr">
        <is>
          <t>下熱滾軸(低)</t>
        </is>
      </c>
      <c r="D119" s="400" t="inlineStr">
        <is>
          <t>T6LK72102000</t>
        </is>
      </c>
      <c r="E119" s="400" t="inlineStr">
        <is>
          <t>HR-3008A-L</t>
        </is>
      </c>
    </row>
    <row r="120">
      <c r="A120" s="400" t="inlineStr">
        <is>
          <t>28A</t>
        </is>
      </c>
      <c r="B120" s="400" t="inlineStr">
        <is>
          <t>定著組</t>
        </is>
      </c>
      <c r="C120" s="400" t="inlineStr">
        <is>
          <t>上熱滾軸</t>
        </is>
      </c>
      <c r="D120" s="400" t="inlineStr">
        <is>
          <t>T6LK72107000</t>
        </is>
      </c>
      <c r="E120" s="400" t="inlineStr">
        <is>
          <t>HR-5008A-U</t>
        </is>
      </c>
    </row>
    <row r="121">
      <c r="A121" s="400" t="inlineStr">
        <is>
          <t>28A</t>
        </is>
      </c>
      <c r="B121" s="400" t="inlineStr">
        <is>
          <t>定著組</t>
        </is>
      </c>
      <c r="C121" s="400" t="inlineStr">
        <is>
          <t>溫控</t>
        </is>
      </c>
      <c r="D121" s="400" t="inlineStr">
        <is>
          <t>T6LK72713000</t>
        </is>
      </c>
      <c r="E121" s="400" t="inlineStr">
        <is>
          <t>THMS-HTR-H413</t>
        </is>
      </c>
    </row>
    <row r="122">
      <c r="A122" s="400" t="inlineStr">
        <is>
          <t>28A</t>
        </is>
      </c>
      <c r="B122" s="400" t="inlineStr">
        <is>
          <t>定著組</t>
        </is>
      </c>
      <c r="C122" s="400" t="inlineStr">
        <is>
          <t>分離爪</t>
        </is>
      </c>
      <c r="D122" s="400" t="inlineStr">
        <is>
          <t>T6LE58405000</t>
        </is>
      </c>
      <c r="E122" s="400" t="inlineStr">
        <is>
          <t>SCRAPER-282</t>
        </is>
      </c>
    </row>
    <row r="123">
      <c r="A123" s="400" t="inlineStr">
        <is>
          <t>28A</t>
        </is>
      </c>
      <c r="B123" s="400" t="inlineStr">
        <is>
          <t>定著組</t>
        </is>
      </c>
      <c r="C123" s="400" t="inlineStr">
        <is>
          <t>上熱培林</t>
        </is>
      </c>
      <c r="D123" s="400" t="inlineStr">
        <is>
          <t>T6LK68071000</t>
        </is>
      </c>
      <c r="E123" s="400" t="inlineStr">
        <is>
          <t>6807ZZC4-GPL226</t>
        </is>
      </c>
    </row>
    <row r="124">
      <c r="A124" s="400" t="inlineStr">
        <is>
          <t>28A</t>
        </is>
      </c>
      <c r="B124" s="400" t="inlineStr">
        <is>
          <t>取紙組</t>
        </is>
      </c>
      <c r="C124" s="400" t="inlineStr">
        <is>
          <t>取紙輪</t>
        </is>
      </c>
      <c r="D124" s="400" t="inlineStr">
        <is>
          <t>T6LJ56242000</t>
        </is>
      </c>
      <c r="E124" s="400" t="inlineStr">
        <is>
          <t>ASYS-ROLL-FEED-H21X_H</t>
        </is>
      </c>
    </row>
    <row r="125">
      <c r="A125" s="400" t="inlineStr">
        <is>
          <t>28A</t>
        </is>
      </c>
      <c r="B125" s="400" t="inlineStr">
        <is>
          <t>取紙組</t>
        </is>
      </c>
      <c r="C125" s="400" t="inlineStr">
        <is>
          <t>送紙輪</t>
        </is>
      </c>
      <c r="D125" s="400" t="inlineStr">
        <is>
          <t>T6LK50739000</t>
        </is>
      </c>
      <c r="E125" s="400" t="inlineStr">
        <is>
          <t>ASYS-ROLL-FEED-H373</t>
        </is>
      </c>
    </row>
    <row r="126">
      <c r="A126" s="400" t="inlineStr">
        <is>
          <t>28A</t>
        </is>
      </c>
      <c r="B126" s="400" t="inlineStr">
        <is>
          <t>取紙組</t>
        </is>
      </c>
      <c r="C126" s="400" t="inlineStr">
        <is>
          <t>分離輪</t>
        </is>
      </c>
      <c r="D126" s="400" t="inlineStr">
        <is>
          <t>T6LK50742000</t>
        </is>
      </c>
      <c r="E126" s="400" t="inlineStr">
        <is>
          <t>ASYS-ROLL-SPT-H373</t>
        </is>
      </c>
    </row>
    <row r="127">
      <c r="A127" s="400" t="inlineStr">
        <is>
          <t>28A</t>
        </is>
      </c>
      <c r="B127" s="400" t="inlineStr">
        <is>
          <t>取紙組</t>
        </is>
      </c>
      <c r="C127" s="400" t="inlineStr">
        <is>
          <t>抽屜門把</t>
        </is>
      </c>
      <c r="D127" s="400" t="inlineStr">
        <is>
          <t>T6LJ56838200</t>
        </is>
      </c>
      <c r="E127" s="400"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216"/>
    <col width="10.59765625" customWidth="1" style="177" min="217"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53"/>
    <col width="8.796875" customWidth="1" style="32" min="254" max="16384"/>
  </cols>
  <sheetData>
    <row r="1" ht="18" customHeight="1" s="105">
      <c r="A1" s="447" t="inlineStr">
        <is>
          <t>統計表</t>
        </is>
      </c>
      <c r="B1" s="448" t="n"/>
      <c r="D1" s="445" t="inlineStr">
        <is>
          <t>便利商店門市</t>
        </is>
      </c>
      <c r="E1" s="446" t="n"/>
      <c r="F1" s="446" t="n"/>
      <c r="G1" s="446" t="n"/>
      <c r="H1" s="446" t="n"/>
      <c r="I1" s="446" t="n"/>
      <c r="J1" s="446" t="n"/>
      <c r="K1" s="446" t="n"/>
      <c r="M1" s="445" t="inlineStr">
        <is>
          <t>萊到店聯盟(HiPOS)</t>
        </is>
      </c>
      <c r="N1" s="446" t="n"/>
      <c r="O1" s="446" t="n"/>
      <c r="P1" s="446" t="n"/>
      <c r="Q1" s="446" t="n"/>
      <c r="R1" s="446" t="n"/>
      <c r="S1" s="446" t="n"/>
      <c r="T1" s="33" t="n"/>
      <c r="V1" s="445" t="inlineStr">
        <is>
          <t>新開門市</t>
        </is>
      </c>
      <c r="W1" s="446" t="n"/>
      <c r="X1" s="446" t="n"/>
      <c r="Y1" s="446" t="n"/>
      <c r="Z1" s="446" t="n"/>
      <c r="AA1" s="446" t="n"/>
      <c r="AB1" s="446" t="n"/>
      <c r="AC1" s="446" t="n"/>
      <c r="AD1" s="446" t="n"/>
      <c r="AF1" s="445" t="inlineStr">
        <is>
          <t>撤店門市</t>
        </is>
      </c>
      <c r="AG1" s="446" t="n"/>
      <c r="AH1" s="446" t="n"/>
      <c r="AI1" s="446" t="n"/>
      <c r="AJ1" s="446" t="n"/>
      <c r="AK1" s="446" t="n"/>
      <c r="AL1" s="446" t="n"/>
      <c r="AM1" s="446" t="n"/>
      <c r="AN1" s="446" t="n"/>
      <c r="AP1" s="445" t="inlineStr">
        <is>
          <t>8800 換 800門市</t>
        </is>
      </c>
      <c r="AQ1" s="446" t="n"/>
      <c r="AR1" s="446" t="n"/>
      <c r="AS1" s="446" t="n"/>
      <c r="AT1" s="446" t="n"/>
      <c r="AU1" s="446" t="n"/>
      <c r="AV1" s="446" t="n"/>
      <c r="AW1" s="446" t="n"/>
      <c r="AX1" s="446"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45" t="inlineStr">
        <is>
          <t>訓練教室</t>
        </is>
      </c>
      <c r="N35" s="446" t="n"/>
      <c r="O35" s="446" t="n"/>
      <c r="P35" s="446" t="n"/>
      <c r="Q35" s="446" t="n"/>
      <c r="R35" s="446" t="n"/>
      <c r="S35" s="446"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45" t="inlineStr">
        <is>
          <t>萊到店聯盟(WebPOS)</t>
        </is>
      </c>
      <c r="N51" s="446" t="n"/>
      <c r="O51" s="446" t="n"/>
      <c r="P51" s="446" t="n"/>
      <c r="Q51" s="446" t="n"/>
      <c r="R51" s="446" t="n"/>
      <c r="S51" s="446"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2025-09-22T05:43:27Z</dcterms:modified>
  <cp:lastModifiedBy>. Diyn</cp:lastModifiedBy>
  <cp:lastPrinted>2024-10-28T07:58:46Z</cp:lastPrinted>
</cp:coreProperties>
</file>