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64ABDC3D-5AFE-463E-8881-C4D96A11B05D}" xr6:coauthVersionLast="47" xr6:coauthVersionMax="47" xr10:uidLastSave="{00000000-0000-0000-0000-000000000000}"/>
  <bookViews>
    <workbookView xWindow="-108" yWindow="-108" windowWidth="23256" windowHeight="12456" tabRatio="780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吳宗鴻!$A$7:$R$7</definedName>
    <definedName name="_xlnm._FilterDatabase" localSheetId="5" hidden="1">狄澤洋!$A$7:$O$42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湯家瑋!$A$7:$O$44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1" i="1" l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28" i="1" l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V25" i="1" l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<sst xmlns="http://schemas.openxmlformats.org/spreadsheetml/2006/main" count="15197" uniqueCount="5155">
  <si>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</si>
  <si>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</si>
  <si>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</si>
  <si>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</si>
  <si>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</si>
  <si>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</si>
  <si>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</si>
  <si>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</si>
  <si>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</si>
  <si>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</si>
  <si>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</si>
  <si>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</si>
  <si>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</si>
  <si>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</si>
  <si>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</si>
  <si>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</si>
  <si>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</si>
  <si>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</si>
  <si>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</si>
  <si>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</si>
  <si>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</si>
  <si>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</si>
  <si>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</si>
  <si>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</si>
  <si>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</si>
  <si>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</si>
  <si>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</si>
  <si>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</si>
  <si>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</si>
  <si>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</si>
  <si>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</si>
  <si>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</si>
  <si>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</si>
  <si>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</si>
  <si>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</si>
  <si>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</si>
  <si>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</si>
  <si>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</si>
  <si>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</si>
  <si>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</si>
  <si>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</si>
  <si>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</si>
  <si>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</si>
  <si>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</si>
  <si>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</si>
  <si>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</si>
  <si>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</si>
  <si>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</si>
  <si>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</si>
  <si>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</si>
  <si>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</si>
  <si>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</si>
  <si>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</si>
  <si>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</si>
  <si>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</si>
  <si>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</si>
  <si>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</si>
  <si>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</si>
  <si>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</si>
  <si>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</si>
  <si>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</si>
  <si>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</si>
  <si>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</si>
  <si>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</si>
  <si>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</si>
  <si>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</si>
  <si>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</si>
  <si>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</si>
  <si>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</si>
  <si>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</si>
  <si>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</si>
  <si>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</si>
  <si>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</si>
  <si>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</si>
  <si>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</si>
  <si>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</si>
  <si>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</si>
  <si>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</si>
  <si>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</si>
  <si>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</si>
  <si>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</si>
  <si>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</si>
  <si>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</si>
  <si>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</si>
  <si>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</si>
  <si>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</si>
  <si>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</si>
  <si>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</si>
  <si>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</si>
  <si>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</si>
  <si>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</si>
  <si>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</si>
  <si>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</si>
  <si>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</si>
  <si>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</si>
  <si>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</si>
  <si>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</si>
  <si>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</si>
  <si>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</si>
  <si>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</si>
  <si>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</si>
  <si>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</si>
  <si>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</si>
  <si>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</si>
  <si>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</si>
  <si>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</si>
  <si>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</si>
  <si>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</si>
  <si>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</si>
  <si>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</si>
  <si>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</si>
  <si>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</si>
  <si>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</si>
  <si>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</si>
  <si>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</si>
  <si>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</si>
  <si>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</si>
  <si>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</si>
  <si>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</si>
  <si>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</si>
  <si>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</si>
  <si>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</si>
  <si>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</si>
  <si>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</si>
  <si>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</si>
  <si>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</si>
  <si>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</si>
  <si>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</si>
  <si>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</si>
  <si>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</si>
  <si>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</si>
  <si>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</si>
  <si>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</si>
  <si>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</si>
  <si>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</si>
  <si>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</si>
  <si>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</si>
  <si>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</si>
  <si>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</si>
  <si>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</si>
  <si>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</si>
  <si>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</si>
  <si>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</si>
  <si>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</si>
  <si>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</si>
  <si>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</si>
  <si>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</si>
  <si>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</si>
  <si>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</si>
  <si>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</si>
  <si>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</si>
  <si>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</si>
  <si>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</si>
  <si>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</si>
  <si>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</si>
  <si>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</si>
  <si>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</si>
  <si>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</si>
  <si>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</si>
  <si>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</si>
  <si>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</si>
  <si>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</si>
  <si>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</si>
  <si>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</si>
  <si>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</si>
  <si>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</si>
  <si>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</si>
  <si>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</si>
  <si>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</si>
  <si>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</si>
  <si>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</si>
  <si>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</si>
  <si>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</si>
  <si>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</si>
  <si>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</si>
  <si>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</si>
  <si>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</si>
  <si>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</si>
  <si>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</si>
  <si>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</si>
  <si>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</si>
  <si>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</si>
  <si>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</si>
  <si>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</si>
  <si>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</si>
  <si>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</si>
  <si>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</si>
  <si>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</si>
  <si>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</si>
  <si>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</si>
  <si>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</si>
  <si>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</si>
  <si>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</si>
  <si>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</si>
  <si>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</si>
  <si>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</si>
  <si>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</si>
  <si>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</si>
  <si>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</si>
  <si>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</si>
  <si>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</si>
  <si>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</si>
  <si>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</si>
  <si>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</si>
  <si>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</si>
  <si>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</si>
  <si>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</si>
  <si>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</si>
  <si>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</si>
  <si>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</si>
  <si>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</si>
  <si>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</si>
  <si>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</si>
  <si>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</si>
  <si>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</si>
  <si>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</si>
  <si>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</si>
  <si>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</si>
  <si>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</si>
  <si>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</si>
  <si>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</si>
  <si>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</si>
  <si>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</si>
  <si>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</si>
  <si>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</si>
  <si>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</si>
  <si>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</si>
  <si>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</si>
  <si>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</si>
  <si>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</si>
  <si>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</si>
  <si>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</si>
  <si>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</si>
  <si>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</si>
  <si>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</si>
  <si>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</si>
  <si>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</si>
  <si>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</si>
  <si>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</si>
  <si>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</si>
  <si>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</si>
  <si>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</si>
  <si>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</si>
  <si>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</si>
  <si>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</si>
  <si>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</si>
  <si>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</si>
  <si>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</si>
  <si>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</si>
  <si>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</si>
  <si>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</si>
  <si>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</si>
  <si>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</si>
  <si>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</si>
  <si>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</si>
  <si>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</si>
  <si>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</si>
  <si>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</si>
  <si>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</si>
  <si>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</si>
  <si>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</si>
  <si>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</si>
  <si>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</si>
  <si>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</si>
  <si>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</si>
  <si>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</si>
  <si>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</si>
  <si>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</si>
  <si>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</si>
  <si>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</si>
  <si>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</si>
  <si>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</si>
  <si>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</si>
  <si>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</si>
  <si>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</si>
  <si>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</si>
  <si>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</si>
  <si>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</si>
  <si>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</si>
  <si>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</si>
  <si>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</si>
  <si>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</si>
  <si>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</si>
  <si>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</si>
  <si>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</si>
  <si>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</si>
  <si>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</si>
  <si>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</si>
  <si>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</si>
  <si>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</si>
  <si>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</si>
  <si>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</si>
  <si>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</si>
  <si>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</si>
  <si>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</si>
  <si>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</si>
  <si>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</si>
  <si>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</si>
  <si>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</si>
  <si>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</si>
  <si>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</si>
  <si>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</si>
  <si>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</si>
  <si>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</si>
  <si>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</si>
  <si>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</si>
  <si>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</si>
  <si>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</si>
  <si>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</si>
  <si>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</si>
  <si>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</si>
  <si>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</si>
  <si>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</si>
  <si>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</si>
  <si>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</si>
  <si>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</si>
  <si>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</si>
  <si>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</si>
  <si>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</si>
  <si>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</si>
  <si>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</si>
  <si>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</si>
  <si>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</si>
  <si>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</si>
  <si>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</si>
  <si>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</si>
  <si>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</si>
  <si>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</si>
  <si>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</si>
  <si>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</si>
  <si>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</si>
  <si>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</si>
  <si>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</si>
  <si>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</si>
  <si>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</si>
  <si>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</si>
  <si>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</si>
  <si>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</si>
  <si>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</si>
  <si>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</si>
  <si>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</si>
  <si>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</si>
  <si>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</si>
  <si>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</si>
  <si>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</si>
  <si>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</si>
  <si>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</si>
  <si>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</si>
  <si>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</si>
  <si>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</si>
  <si>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</si>
  <si>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</si>
  <si>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</si>
  <si>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</si>
  <si>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</si>
  <si>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</si>
  <si>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</si>
  <si>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</si>
  <si>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</si>
  <si>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</si>
  <si>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</si>
  <si>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</si>
  <si>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</si>
  <si>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</si>
  <si>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</si>
  <si>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</si>
  <si>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</si>
  <si>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</si>
  <si>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</si>
  <si>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</si>
  <si>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</si>
  <si>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</si>
  <si>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</si>
  <si>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</si>
  <si>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</si>
  <si>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</si>
  <si>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</si>
  <si>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</si>
  <si>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</si>
  <si>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</si>
  <si>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</si>
  <si>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</si>
  <si>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</si>
  <si>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</si>
  <si>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</si>
  <si>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</si>
  <si>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</si>
  <si>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</si>
  <si>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</si>
  <si>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</si>
  <si>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</si>
  <si>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</si>
  <si>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</si>
  <si>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</si>
  <si>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</si>
  <si>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</si>
  <si>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</si>
  <si>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</si>
  <si>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</si>
  <si>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</si>
  <si>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</si>
  <si>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</si>
  <si>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</si>
  <si>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</si>
  <si>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</si>
  <si>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</si>
  <si>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</si>
  <si>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</si>
  <si>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</si>
  <si>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</si>
  <si>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</si>
  <si>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</si>
  <si>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</si>
  <si>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</si>
  <si>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</si>
  <si>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</si>
  <si>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</si>
  <si>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</si>
  <si>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</si>
  <si>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</si>
  <si>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</si>
  <si>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</si>
  <si>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</si>
  <si>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</si>
  <si>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</si>
  <si>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</si>
  <si>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</si>
  <si>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</si>
  <si>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</si>
  <si>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</si>
  <si>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</si>
  <si>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</si>
  <si>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</si>
  <si>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</si>
  <si>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</si>
  <si>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</si>
  <si>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</si>
  <si>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</si>
  <si>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</si>
  <si>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</si>
  <si>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</si>
  <si>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</si>
  <si>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</si>
  <si>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</si>
  <si>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</si>
  <si>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</si>
  <si>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</si>
  <si>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</si>
  <si>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</si>
  <si>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</si>
  <si>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</si>
  <si>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</si>
  <si>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</si>
  <si>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</si>
  <si>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</si>
  <si>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</si>
  <si>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</si>
  <si>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</si>
  <si>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</si>
  <si>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</si>
  <si>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</si>
  <si>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</si>
  <si>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</si>
  <si>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</si>
  <si>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</si>
  <si>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</si>
  <si>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</si>
  <si>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</si>
  <si>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</si>
  <si>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</si>
  <si>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</si>
  <si>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</si>
  <si>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</si>
  <si>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</si>
  <si>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</si>
  <si>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</si>
  <si>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</si>
  <si>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</si>
  <si>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</si>
  <si>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</si>
  <si>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</si>
  <si>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</si>
  <si>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</si>
  <si>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</si>
  <si>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</si>
  <si>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</si>
  <si>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</si>
  <si>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</si>
  <si>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</si>
  <si>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</si>
  <si>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</si>
  <si>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</si>
  <si>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</si>
  <si>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</si>
  <si>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</si>
  <si>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</si>
  <si>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</si>
  <si>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</si>
  <si>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</si>
  <si>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</si>
  <si>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</si>
  <si>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</si>
  <si>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</si>
  <si>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</si>
  <si>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</si>
  <si>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</si>
  <si>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</si>
  <si>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</si>
  <si>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</si>
  <si>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</si>
  <si>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</si>
  <si>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</si>
  <si>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</si>
  <si>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</si>
  <si>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</si>
  <si>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</si>
  <si>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</si>
  <si>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</si>
  <si>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</si>
  <si>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</si>
  <si>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</si>
  <si>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</si>
  <si>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</si>
  <si>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</si>
  <si>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</si>
  <si>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</si>
  <si>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</si>
  <si>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</si>
  <si>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</si>
  <si>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</si>
  <si>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</si>
  <si>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</si>
  <si>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</si>
  <si>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</si>
  <si>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</si>
  <si>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</si>
  <si>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</si>
  <si>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</si>
  <si>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</si>
  <si>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</si>
  <si>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</si>
  <si>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</si>
  <si>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</si>
  <si>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</si>
  <si>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</si>
  <si>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</si>
  <si>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</si>
  <si>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</si>
  <si>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</si>
  <si>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</si>
  <si>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</si>
  <si>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</si>
  <si>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</si>
  <si>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</si>
  <si>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</si>
  <si>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</si>
  <si>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</si>
  <si>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</si>
  <si>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</si>
  <si>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</si>
  <si>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</si>
  <si>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</si>
  <si>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</si>
  <si>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</si>
  <si>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</si>
  <si>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</si>
  <si>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</si>
  <si>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</si>
  <si>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</si>
  <si>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</si>
  <si>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</si>
  <si>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</si>
  <si>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</si>
  <si>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</si>
  <si>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</si>
  <si>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</si>
  <si>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</si>
  <si>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</si>
  <si>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</si>
  <si>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</si>
  <si>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</si>
  <si>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</si>
  <si>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</si>
  <si>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</si>
  <si>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</si>
  <si>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</si>
  <si>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</si>
  <si>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</si>
  <si>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</si>
  <si>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</si>
  <si>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</si>
  <si>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</si>
  <si>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</si>
  <si>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</si>
  <si>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</si>
  <si>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</si>
  <si>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</si>
  <si>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</si>
  <si>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</si>
  <si>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</si>
  <si>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</si>
  <si>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</si>
  <si>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</si>
  <si>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</si>
  <si>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</si>
  <si>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</si>
  <si>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</si>
  <si>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</si>
  <si>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</si>
  <si>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</si>
  <si>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</si>
  <si>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</si>
  <si>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</si>
  <si>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</si>
  <si>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</si>
  <si>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</si>
  <si>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</si>
  <si>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</si>
  <si>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</si>
  <si>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</si>
  <si>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</si>
  <si>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</si>
  <si>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</si>
  <si>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</si>
  <si>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</si>
  <si>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</si>
  <si>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</si>
  <si>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</si>
  <si>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</si>
  <si>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</si>
  <si>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</si>
  <si>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</si>
  <si>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</si>
  <si>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</si>
  <si>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</si>
  <si>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</si>
  <si>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</si>
  <si>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</si>
  <si>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</si>
  <si>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</si>
  <si>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</si>
  <si>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</si>
  <si>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</si>
  <si>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</si>
  <si>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</si>
  <si>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</si>
  <si>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</si>
  <si>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</si>
  <si>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</si>
  <si>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</si>
  <si>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</si>
  <si>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</si>
  <si>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</si>
  <si>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</si>
  <si>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</si>
  <si>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</si>
  <si>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</si>
  <si>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</si>
  <si>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</si>
  <si>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</si>
  <si>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</si>
  <si>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</si>
  <si>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</si>
  <si>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</si>
  <si>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</si>
  <si>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</si>
  <si>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</si>
  <si>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</si>
  <si>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</si>
  <si>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</si>
  <si>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</si>
  <si>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</si>
  <si>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</si>
  <si>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</si>
  <si>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</si>
  <si>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</si>
  <si>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</si>
  <si>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</si>
  <si>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</si>
  <si>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</si>
  <si>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</si>
  <si>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</si>
  <si>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</si>
  <si>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</si>
  <si>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</si>
  <si>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</si>
  <si>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</si>
  <si>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</si>
  <si>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</si>
  <si>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</si>
  <si>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</si>
  <si>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</si>
  <si>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</si>
  <si>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</si>
  <si>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</si>
  <si>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</si>
  <si>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</si>
  <si>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</si>
  <si>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</si>
  <si>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</si>
  <si>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</si>
  <si>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</si>
  <si>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</si>
  <si>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</si>
  <si>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</si>
  <si>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</si>
  <si>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</si>
  <si>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</si>
  <si>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</si>
  <si>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</si>
  <si>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</si>
  <si>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</si>
  <si>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</si>
  <si>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</si>
  <si>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</si>
  <si>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</si>
  <si>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</si>
  <si>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</si>
  <si>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</si>
  <si>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</si>
  <si>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</si>
  <si>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</si>
  <si>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</si>
  <si>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</si>
  <si>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</si>
  <si>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</si>
  <si>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</si>
  <si>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</si>
  <si>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</si>
  <si>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</si>
  <si>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</si>
  <si>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</si>
  <si>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</si>
  <si>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</si>
  <si>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</si>
  <si>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</si>
  <si>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</si>
  <si>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</si>
  <si>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</si>
  <si>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</si>
  <si>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</si>
  <si>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</si>
  <si>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</si>
  <si>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</si>
  <si>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</si>
  <si>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</si>
  <si>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</si>
  <si>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</si>
  <si>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</si>
  <si>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</si>
  <si>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</si>
  <si>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</si>
  <si>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</si>
  <si>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</si>
  <si>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</si>
  <si>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</si>
  <si>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</si>
  <si>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</si>
  <si>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</si>
  <si>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</si>
  <si>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</si>
  <si>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</si>
  <si>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</si>
  <si>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</si>
  <si>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</si>
  <si>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</si>
  <si>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</si>
  <si>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</si>
  <si>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</si>
  <si>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</si>
  <si>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</si>
  <si>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</si>
  <si>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</si>
  <si>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</si>
  <si>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</si>
  <si>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</si>
  <si>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</si>
  <si>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</si>
  <si>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</si>
  <si>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</si>
  <si>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</si>
  <si>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</si>
  <si>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</si>
  <si>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</si>
  <si>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</si>
  <si>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</si>
  <si>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</si>
  <si>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</si>
  <si>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</si>
  <si>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</si>
  <si>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</si>
  <si>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</si>
  <si>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</si>
  <si>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</si>
  <si>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</si>
  <si>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</si>
  <si>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</si>
  <si>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</si>
  <si>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</si>
  <si>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</si>
  <si>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</si>
  <si>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</si>
  <si>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</si>
  <si>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</si>
  <si>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</si>
  <si>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</si>
  <si>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</si>
  <si>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</si>
  <si>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</si>
  <si>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</si>
  <si>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</si>
  <si>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</si>
  <si>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</si>
  <si>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</si>
  <si>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</si>
  <si>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</si>
  <si>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</si>
  <si>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</si>
  <si>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</si>
  <si>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</si>
  <si>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</si>
  <si>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</si>
  <si>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</si>
  <si>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</si>
  <si>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</si>
  <si>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</si>
  <si>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</si>
  <si>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</si>
  <si>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</si>
  <si>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</si>
  <si>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</si>
  <si>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</si>
  <si>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</si>
  <si>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</si>
  <si>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</si>
  <si>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</si>
  <si>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</si>
  <si>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</si>
  <si>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</si>
  <si>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</si>
  <si>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</si>
  <si>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</si>
  <si>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</si>
  <si>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</si>
  <si>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</si>
  <si>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</si>
  <si>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</si>
  <si>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</si>
  <si>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</si>
  <si>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</si>
  <si>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</si>
  <si>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</si>
  <si>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</si>
  <si>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</si>
  <si>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</si>
  <si>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</si>
  <si>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</si>
  <si>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</si>
  <si>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</si>
  <si>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</si>
  <si>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</si>
  <si>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</si>
  <si>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</si>
  <si>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</si>
  <si>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</si>
  <si>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</si>
  <si>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</si>
  <si>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</si>
  <si>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</si>
  <si>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</si>
  <si>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</si>
  <si>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</si>
  <si>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</si>
  <si>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</si>
  <si>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</si>
  <si>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</si>
  <si>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</si>
  <si>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</si>
  <si>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</si>
  <si>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</si>
  <si>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</si>
  <si>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</si>
  <si>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</si>
  <si>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</si>
  <si>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</si>
  <si>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</si>
  <si>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</si>
  <si>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</si>
  <si>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</si>
  <si>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</si>
  <si>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</si>
  <si>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</si>
  <si>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</si>
  <si>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</si>
  <si>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</si>
  <si>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</si>
  <si>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</si>
  <si>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</si>
  <si>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</si>
  <si>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</si>
  <si>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</si>
  <si>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</si>
  <si>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</si>
  <si>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</si>
  <si>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</si>
  <si>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</si>
  <si>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</si>
  <si>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</si>
  <si>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</si>
  <si>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</si>
  <si>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</si>
  <si>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</si>
  <si>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</si>
  <si>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</si>
  <si>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</si>
  <si>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</si>
  <si>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</si>
  <si>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</si>
  <si>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</si>
  <si>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</si>
  <si>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</si>
  <si>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</si>
  <si>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</si>
  <si>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</si>
  <si>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</si>
  <si>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</si>
  <si>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</si>
  <si>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</si>
  <si>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</si>
  <si>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</si>
  <si>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</si>
  <si>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</si>
  <si>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</si>
  <si>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</si>
  <si>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</si>
  <si>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</si>
  <si>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</si>
  <si>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</si>
  <si>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</si>
  <si>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</si>
  <si>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</si>
  <si>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</si>
  <si>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</si>
  <si>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</si>
  <si>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</si>
  <si>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</si>
  <si>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</si>
  <si>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</si>
  <si>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</si>
  <si>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</si>
  <si>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</si>
  <si>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</si>
  <si>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</si>
  <si>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</si>
  <si>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</si>
  <si>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</si>
  <si>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</si>
  <si>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</si>
  <si>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</si>
  <si>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</si>
  <si>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</si>
  <si>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</si>
  <si>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</si>
  <si>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</si>
  <si>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</si>
  <si>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</si>
  <si>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</si>
  <si>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</si>
  <si>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</si>
  <si>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</si>
  <si>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</si>
  <si>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</si>
  <si>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</si>
  <si>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</si>
  <si>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</si>
  <si>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</si>
  <si>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</si>
  <si>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</si>
  <si>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</si>
  <si>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</si>
  <si>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</si>
  <si>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</si>
  <si>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</si>
  <si>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</si>
  <si>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</si>
  <si>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</si>
  <si>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</si>
  <si>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</si>
  <si>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</si>
  <si>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</si>
  <si>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</si>
  <si>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</si>
  <si>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</si>
  <si>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</si>
  <si>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</si>
  <si>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</si>
  <si>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</si>
  <si>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</si>
  <si>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</si>
  <si>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</si>
  <si>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</si>
  <si>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</si>
  <si>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</si>
  <si>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</si>
  <si>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</si>
  <si>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</si>
  <si>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</si>
  <si>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</si>
  <si>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</si>
  <si>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</si>
  <si>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</si>
  <si>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</si>
  <si>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</si>
  <si>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</si>
  <si>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</si>
  <si>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</si>
  <si>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</si>
  <si>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</si>
  <si>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</si>
  <si>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</si>
  <si>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</si>
  <si>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</si>
  <si>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</si>
  <si>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</si>
  <si>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</si>
  <si>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</si>
  <si>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</si>
  <si>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</si>
  <si>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</si>
  <si>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</si>
  <si>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</si>
  <si>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</si>
  <si>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</si>
  <si>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</si>
  <si>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</si>
  <si>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</si>
  <si>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</si>
  <si>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</si>
  <si>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</si>
  <si>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</si>
  <si>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</si>
  <si>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</si>
  <si>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</si>
  <si>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</si>
  <si>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</si>
  <si>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</si>
  <si>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</si>
  <si>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</si>
  <si>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</si>
  <si>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</si>
  <si>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</si>
  <si>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</si>
  <si>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</si>
  <si>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</si>
  <si>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</si>
  <si>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</si>
  <si>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</si>
  <si>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</si>
  <si>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</si>
  <si>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</si>
  <si>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</si>
  <si>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</si>
  <si>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</si>
  <si>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</si>
  <si>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</si>
  <si>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</si>
  <si>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</si>
  <si>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</si>
  <si>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</si>
  <si>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</si>
  <si>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</si>
  <si>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</si>
  <si>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</si>
  <si>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</si>
  <si>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</si>
  <si>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</si>
  <si>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</si>
  <si>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</si>
  <si>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</si>
  <si>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</si>
  <si>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</si>
  <si>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</si>
  <si>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</si>
  <si>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</si>
  <si>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</si>
  <si>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</si>
  <si>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</si>
  <si>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</si>
  <si>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</si>
  <si>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</si>
  <si>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</si>
  <si>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</si>
  <si>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</si>
  <si>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</si>
  <si>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</si>
  <si>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</si>
  <si>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</si>
  <si>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</si>
  <si>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</si>
  <si>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</si>
  <si>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</si>
  <si>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</si>
  <si>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</si>
  <si>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</si>
  <si>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</si>
  <si>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</si>
  <si>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</si>
  <si>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</si>
  <si>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</si>
  <si>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</si>
  <si>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</si>
  <si>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</si>
  <si>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</si>
  <si>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</si>
  <si>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</si>
  <si>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</si>
  <si>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</si>
  <si>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</si>
  <si>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</si>
  <si>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</si>
  <si>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</si>
  <si>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</si>
  <si>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</si>
  <si>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</si>
  <si>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</si>
  <si>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</si>
  <si>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</si>
  <si>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</si>
  <si>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</si>
  <si>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</si>
  <si>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</si>
  <si>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</si>
  <si>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</si>
  <si>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</si>
  <si>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</si>
  <si>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</si>
  <si>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</si>
  <si>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</si>
  <si>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</si>
  <si>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</si>
  <si>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</si>
  <si>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</si>
  <si>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</si>
  <si>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</si>
  <si>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</si>
  <si>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</si>
  <si>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</si>
  <si>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</si>
  <si>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</si>
  <si>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</si>
  <si>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</si>
  <si>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</si>
  <si>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</si>
  <si>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</si>
  <si>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</si>
  <si>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</si>
  <si>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</si>
  <si>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</si>
  <si>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</si>
  <si>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</si>
  <si>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</si>
  <si>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</si>
  <si>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</si>
  <si>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</si>
  <si>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</si>
  <si>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</si>
  <si>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</si>
  <si>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</si>
  <si>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</si>
  <si>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</si>
  <si>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</si>
  <si>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</si>
  <si>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</si>
  <si>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</si>
  <si>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</si>
  <si>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</si>
  <si>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</si>
  <si>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</si>
  <si>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</si>
  <si>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</si>
  <si>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</si>
  <si>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</si>
  <si>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</si>
  <si>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</si>
  <si>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</si>
  <si>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</si>
  <si>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</si>
  <si>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</si>
  <si>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</si>
  <si>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</si>
  <si>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</si>
  <si>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</si>
  <si>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</si>
  <si>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</si>
  <si>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</si>
  <si>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</si>
  <si>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</si>
  <si>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</si>
  <si>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</si>
  <si>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</si>
  <si>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</si>
  <si>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</si>
  <si>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</si>
  <si>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</si>
  <si>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</si>
  <si>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</si>
  <si>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</si>
  <si>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</si>
  <si>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</si>
  <si>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</si>
  <si>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</si>
  <si>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</si>
  <si>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</si>
  <si>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</si>
  <si>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</si>
  <si>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</si>
  <si>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</si>
  <si>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</si>
  <si>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</si>
  <si>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</si>
  <si>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</si>
  <si>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</si>
  <si>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</si>
  <si>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</si>
  <si>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</si>
  <si>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</si>
  <si>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</si>
  <si>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</si>
  <si>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</si>
  <si>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</si>
  <si>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</si>
  <si>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</si>
  <si>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</si>
  <si>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</si>
  <si>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</si>
  <si>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</si>
  <si>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</si>
  <si>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</si>
  <si>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</si>
  <si>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</si>
  <si>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</si>
  <si>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</si>
  <si>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</si>
  <si>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</si>
  <si>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</si>
  <si>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</si>
  <si>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</si>
  <si>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</si>
  <si>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</si>
  <si>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</si>
  <si>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</si>
  <si>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</si>
  <si>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</si>
  <si>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</si>
  <si>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</si>
  <si>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</si>
  <si>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</si>
  <si>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</si>
  <si>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</si>
  <si>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</si>
  <si>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</si>
  <si>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</si>
  <si>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</si>
  <si>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</si>
  <si>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</si>
  <si>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</si>
  <si>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</si>
  <si>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</si>
  <si>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</si>
  <si>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</si>
  <si>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</si>
  <si>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</si>
  <si>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</si>
  <si>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</si>
  <si>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</si>
  <si>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</si>
  <si>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</si>
  <si>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</si>
  <si>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</si>
  <si>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</si>
  <si>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</si>
  <si>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</si>
  <si>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</si>
  <si>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</si>
  <si>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</si>
  <si>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</si>
  <si>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</si>
  <si>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</si>
  <si>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</si>
  <si>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</si>
  <si>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</si>
  <si>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</si>
  <si>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</si>
  <si>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</si>
  <si>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</si>
  <si>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</si>
  <si>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</si>
  <si>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</si>
  <si>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</si>
  <si>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</si>
  <si>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</si>
  <si>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</si>
  <si>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</si>
  <si>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</si>
  <si>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</si>
  <si>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</si>
  <si>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</si>
  <si>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</si>
  <si>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</si>
  <si>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</si>
  <si>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</si>
  <si>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</si>
  <si>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</si>
  <si>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</si>
  <si>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</si>
  <si>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</si>
  <si>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</si>
  <si>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</si>
  <si>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</si>
  <si>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</si>
  <si>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</si>
  <si>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</si>
  <si>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</si>
  <si>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</si>
  <si>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</si>
  <si>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</si>
  <si>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</si>
  <si>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</si>
  <si>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</si>
  <si>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</si>
  <si>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</si>
  <si>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</si>
  <si>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</si>
  <si>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</si>
  <si>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</si>
  <si>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</si>
  <si>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</si>
  <si>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</si>
  <si>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</si>
  <si>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</si>
  <si>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</si>
  <si>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</si>
  <si>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</si>
  <si>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</si>
  <si>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</si>
  <si>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</si>
  <si>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</si>
  <si>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</si>
  <si>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</si>
  <si>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</si>
  <si>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</si>
  <si>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</si>
  <si>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</si>
  <si>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</si>
  <si>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</si>
  <si>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</si>
  <si>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</si>
  <si>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</si>
  <si>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</si>
  <si>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</si>
  <si>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</si>
  <si>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</si>
  <si>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</si>
  <si>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</si>
  <si>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</si>
  <si>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</si>
  <si>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</si>
  <si>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</si>
  <si>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</si>
  <si>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</si>
  <si>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</si>
  <si>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</si>
  <si>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</si>
  <si>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</si>
  <si>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</si>
  <si>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</si>
  <si>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</si>
  <si>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</si>
  <si>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</si>
  <si>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</si>
  <si>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</si>
  <si>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</si>
  <si>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</si>
  <si>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</si>
  <si>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</si>
  <si>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</si>
  <si>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</si>
  <si>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</si>
  <si>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</si>
  <si>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</si>
  <si>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</si>
  <si>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</si>
  <si>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</si>
  <si>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</si>
  <si>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</si>
  <si>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</si>
  <si>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</si>
  <si>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</si>
  <si>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</si>
  <si>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</si>
  <si>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</si>
  <si>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</si>
  <si>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</si>
  <si>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</si>
  <si>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</si>
  <si>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</si>
  <si>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</si>
  <si>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</si>
  <si>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</si>
  <si>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</si>
  <si>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</si>
  <si>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</si>
  <si>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</si>
  <si>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</si>
  <si>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</si>
  <si>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</si>
  <si>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</si>
  <si>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</si>
  <si>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</si>
  <si>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</si>
  <si>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</si>
  <si>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</si>
  <si>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</si>
  <si>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</si>
  <si>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</si>
  <si>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</si>
  <si>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</si>
  <si>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</si>
  <si>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</si>
  <si>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</si>
  <si>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</si>
  <si>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</si>
  <si>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</si>
  <si>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</si>
  <si>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</si>
  <si>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</si>
  <si>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</si>
  <si>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</si>
  <si>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</si>
  <si>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</si>
  <si>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</si>
  <si>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</si>
  <si>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</si>
  <si>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</si>
  <si>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</si>
  <si>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</si>
  <si>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</si>
  <si>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</si>
  <si>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</si>
  <si>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</si>
  <si>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</si>
  <si>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</si>
  <si>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</si>
  <si>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</si>
  <si>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</si>
  <si>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</si>
  <si>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</si>
  <si>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</si>
  <si>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</si>
  <si>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</si>
  <si>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</si>
  <si>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</si>
  <si>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</si>
  <si>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</si>
  <si>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</si>
  <si>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</si>
  <si>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</si>
  <si>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</si>
  <si>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</si>
  <si>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</si>
  <si>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</si>
  <si>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</si>
  <si>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</si>
  <si>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</si>
  <si>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</si>
  <si>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</si>
  <si>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</si>
  <si>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</si>
  <si>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</si>
  <si>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</si>
  <si>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</si>
  <si>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</si>
  <si>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</si>
  <si>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</si>
  <si>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</si>
  <si>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</si>
  <si>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</si>
  <si>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</si>
  <si>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</si>
  <si>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</si>
  <si>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</si>
  <si>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</si>
  <si>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</si>
  <si>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</si>
  <si>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</si>
  <si>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</si>
  <si>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</si>
  <si>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</si>
  <si>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</si>
  <si>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</si>
  <si>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</si>
  <si>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</si>
  <si>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</si>
  <si>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</si>
  <si>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</si>
  <si>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</si>
  <si>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</si>
  <si>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</si>
  <si>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</si>
  <si>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</si>
  <si>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</si>
  <si>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</si>
  <si>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</si>
  <si>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</si>
  <si>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</si>
  <si>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</si>
  <si>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</si>
  <si>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</si>
  <si>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</si>
  <si>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</si>
  <si>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</si>
  <si>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</si>
  <si>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</si>
  <si>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</si>
  <si>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</si>
  <si>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</si>
  <si>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</si>
  <si>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</si>
  <si>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</si>
  <si>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</si>
  <si>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</si>
  <si>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</si>
  <si>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</si>
  <si>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</si>
  <si>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</si>
  <si>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</si>
  <si>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</si>
  <si>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</si>
  <si>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</si>
  <si>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</si>
  <si>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</si>
  <si>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</si>
  <si>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</si>
  <si>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</si>
  <si>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</si>
  <si>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</si>
  <si>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</si>
  <si>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</si>
  <si>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</si>
  <si>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</si>
  <si>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</si>
  <si>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</si>
  <si>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</si>
  <si>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</si>
  <si>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</si>
  <si>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</si>
  <si>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</si>
  <si>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</si>
  <si>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</si>
  <si>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</si>
  <si>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</si>
  <si>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</si>
  <si>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</si>
  <si>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</si>
  <si>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</si>
  <si>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</si>
  <si>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</si>
  <si>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</si>
  <si>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</si>
  <si>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</si>
  <si>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</si>
  <si>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</si>
  <si>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</si>
  <si>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</si>
  <si>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</si>
  <si>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</si>
  <si>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</si>
  <si>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</si>
  <si>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</si>
  <si>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</si>
  <si>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</si>
  <si>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</si>
  <si>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</si>
  <si>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</si>
  <si>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</si>
  <si>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</si>
  <si>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</si>
  <si>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</si>
  <si>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</si>
  <si>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</si>
  <si>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</si>
  <si>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</si>
  <si>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</si>
  <si>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</si>
  <si>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</si>
  <si>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</si>
  <si>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</si>
  <si>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</si>
  <si>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</si>
  <si>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</si>
  <si>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</si>
  <si>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</si>
  <si>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</si>
  <si>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</si>
  <si>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</si>
  <si>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</si>
  <si>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</si>
  <si>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</si>
  <si>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</si>
  <si>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</si>
  <si>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</si>
  <si>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</si>
  <si>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</si>
  <si>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</si>
  <si>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</si>
  <si>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</si>
  <si>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</si>
  <si>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</si>
  <si>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</si>
  <si>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</si>
  <si>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</si>
  <si>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</si>
  <si>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</si>
  <si>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</si>
  <si>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</si>
  <si>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</si>
  <si>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</si>
  <si>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</si>
  <si>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</si>
  <si>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</si>
  <si>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</si>
  <si>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</si>
  <si>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</si>
  <si>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</si>
  <si>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</si>
  <si>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</si>
  <si>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</si>
  <si>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</si>
  <si>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</si>
  <si>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</si>
  <si>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</si>
  <si>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</si>
  <si>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</si>
  <si>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</si>
  <si>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</si>
  <si>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</si>
  <si>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</si>
  <si>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</si>
  <si>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</si>
  <si>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</si>
  <si>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</si>
  <si>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</si>
  <si>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</si>
  <si>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</si>
  <si>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</si>
  <si>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</si>
  <si>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</si>
  <si>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</si>
  <si>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</si>
  <si>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</si>
  <si>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</si>
  <si>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</si>
  <si>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</si>
  <si>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</si>
  <si>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</si>
  <si>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</si>
  <si>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</si>
  <si>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</si>
  <si>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</si>
  <si>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</si>
  <si>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</si>
  <si>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</si>
  <si>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</si>
  <si>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</si>
  <si>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</si>
  <si>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</si>
  <si>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</si>
  <si>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</si>
  <si>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</si>
  <si>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</si>
  <si>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</si>
  <si>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</si>
  <si>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</si>
  <si>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</si>
  <si>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</si>
  <si>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</si>
  <si>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</si>
  <si>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</si>
  <si>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</si>
  <si>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</si>
  <si>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</si>
  <si>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</si>
  <si>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</si>
  <si>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</si>
  <si>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</si>
  <si>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</si>
  <si>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</si>
  <si>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</si>
  <si>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</si>
  <si>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</si>
  <si>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</si>
  <si>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</si>
  <si>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</si>
  <si>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</si>
  <si>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</si>
  <si>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</si>
  <si>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</si>
  <si>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</si>
  <si>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</si>
  <si>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</si>
  <si>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</si>
  <si>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</si>
  <si>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</si>
  <si>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</si>
  <si>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</si>
  <si>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</si>
  <si>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</si>
  <si>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</si>
  <si>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</si>
  <si>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</si>
  <si>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</si>
  <si>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</si>
  <si>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</si>
  <si>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</si>
  <si>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</si>
  <si>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</si>
  <si>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</si>
  <si>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</si>
  <si>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</si>
  <si>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</si>
  <si>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</si>
  <si>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</si>
  <si>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</si>
  <si>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</si>
  <si>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</si>
  <si>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</si>
  <si>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</si>
  <si>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</si>
  <si>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</si>
  <si>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</si>
  <si>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</si>
  <si>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</si>
  <si>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</si>
  <si>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</si>
  <si>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</si>
  <si>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</si>
  <si>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</si>
  <si>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</si>
  <si>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</si>
  <si>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</si>
  <si>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</si>
  <si>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</si>
  <si>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</si>
  <si>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</si>
  <si>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</si>
  <si>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</si>
  <si>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</si>
  <si>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</si>
  <si>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</si>
  <si>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</si>
  <si>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</si>
  <si>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</si>
  <si>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</si>
  <si>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</si>
  <si>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</si>
  <si>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</si>
  <si>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</si>
  <si>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</si>
  <si>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</si>
  <si>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</si>
  <si>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</si>
  <si>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</si>
  <si>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</si>
  <si>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</si>
  <si>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</si>
  <si>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</si>
  <si>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</si>
  <si>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</si>
  <si>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</si>
  <si>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</si>
  <si>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</si>
  <si>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</si>
  <si>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</si>
  <si>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</si>
  <si>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</si>
  <si>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</si>
  <si>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</si>
  <si>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</si>
  <si>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</si>
  <si>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</si>
  <si>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</si>
  <si>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</si>
  <si>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</si>
  <si>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</si>
  <si>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</si>
  <si>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</si>
  <si>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</si>
  <si>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</si>
  <si>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</si>
  <si>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</si>
  <si>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</si>
  <si>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</si>
  <si>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</si>
  <si>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</si>
  <si>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</si>
  <si>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</si>
  <si>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</si>
  <si>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</si>
  <si>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</si>
  <si>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</si>
  <si>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</si>
  <si>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</si>
  <si>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</si>
  <si>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</si>
  <si>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</si>
  <si>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</si>
  <si>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</si>
  <si>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</si>
  <si>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</si>
  <si>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</si>
  <si>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</si>
  <si>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</si>
  <si>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</si>
  <si>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</si>
  <si>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</si>
  <si>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</si>
  <si>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</si>
  <si>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</si>
  <si>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</si>
  <si>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</si>
  <si>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</si>
  <si>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</si>
  <si>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</si>
  <si>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</si>
  <si>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</si>
  <si>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</si>
  <si>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</si>
  <si>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</si>
  <si>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</si>
  <si>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</si>
  <si>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</si>
  <si>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</si>
  <si>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</si>
  <si>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</si>
  <si>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</si>
  <si>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</si>
  <si>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</si>
  <si>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</si>
  <si>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</si>
  <si>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</si>
  <si>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</si>
  <si>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</si>
  <si>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</si>
  <si>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</si>
  <si>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</si>
  <si>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</si>
  <si>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</si>
  <si>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</si>
  <si>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</si>
  <si>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</si>
  <si>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</si>
  <si>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</si>
  <si>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</si>
  <si>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</si>
  <si>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</si>
  <si>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</si>
  <si>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</si>
  <si>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</si>
  <si>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</si>
  <si>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</si>
  <si>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</si>
  <si>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</si>
  <si>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</si>
  <si>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</si>
  <si>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</si>
  <si>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</si>
  <si>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</si>
  <si>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</si>
  <si>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</si>
  <si>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</si>
  <si>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</si>
  <si>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</si>
  <si>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</si>
  <si>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</si>
  <si>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</si>
  <si>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</si>
  <si>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</si>
  <si>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</si>
  <si>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</si>
  <si>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</si>
  <si>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</si>
  <si>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</si>
  <si>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</si>
  <si>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</si>
  <si>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</si>
  <si>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</si>
  <si>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</si>
  <si>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</si>
  <si>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</si>
  <si>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</si>
  <si>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</si>
  <si>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</si>
  <si>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</si>
  <si>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</si>
  <si>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</si>
  <si>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</si>
  <si>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</si>
  <si>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</si>
  <si>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</si>
  <si>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</si>
  <si>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</si>
  <si>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</si>
  <si>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</si>
  <si>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</si>
  <si>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</si>
  <si>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</si>
  <si>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</si>
  <si>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</si>
  <si>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</si>
  <si>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</si>
  <si>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</si>
  <si>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</si>
  <si>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</si>
  <si>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</si>
  <si>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</si>
  <si>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</si>
  <si>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</si>
  <si>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</si>
  <si>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</si>
  <si>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</si>
  <si>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</si>
  <si>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</si>
  <si>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</si>
  <si>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</si>
  <si>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</si>
  <si>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</si>
  <si>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</si>
  <si>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</si>
  <si>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</si>
  <si>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</si>
  <si>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</si>
  <si>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</si>
  <si>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</si>
  <si>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</si>
  <si>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</si>
  <si>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</si>
  <si>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</si>
  <si>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</si>
  <si>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</si>
  <si>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</si>
  <si>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</si>
  <si>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</si>
  <si>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</si>
  <si>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</si>
  <si>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</si>
  <si>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</si>
  <si>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</si>
  <si>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</si>
  <si>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</si>
  <si>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</si>
  <si>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</si>
  <si>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</si>
  <si>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</si>
  <si>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</si>
  <si>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</si>
  <si>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</si>
  <si>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</si>
  <si>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</si>
  <si>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</si>
  <si>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</si>
  <si>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</si>
  <si>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</si>
  <si>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</si>
  <si>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</si>
  <si>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</si>
  <si>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</si>
  <si>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</si>
  <si>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</si>
  <si>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</si>
  <si>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</si>
  <si>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</si>
  <si>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</si>
  <si>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</si>
  <si>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</si>
  <si>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</si>
  <si>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</si>
  <si>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</si>
  <si>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</si>
  <si>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</si>
  <si>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</si>
  <si>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</si>
  <si>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</si>
  <si>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</si>
  <si>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</si>
  <si>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</si>
  <si>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</si>
  <si>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</si>
  <si>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</si>
  <si>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</si>
  <si>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</si>
  <si>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</si>
  <si>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</si>
  <si>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</si>
  <si>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</si>
  <si>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</si>
  <si>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</si>
  <si>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</si>
  <si>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</si>
  <si>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</si>
  <si>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</si>
  <si>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</si>
  <si>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</si>
  <si>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</si>
  <si>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</si>
  <si>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</si>
  <si>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</si>
  <si>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</si>
  <si>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</si>
  <si>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</si>
  <si>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</si>
  <si>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</si>
  <si>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</si>
  <si>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</si>
  <si>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</si>
  <si>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</si>
  <si>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</si>
  <si>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</si>
  <si>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</si>
  <si>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</si>
  <si>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</si>
  <si>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</si>
  <si>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</si>
  <si>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</si>
  <si>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</si>
  <si>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</si>
  <si>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</si>
  <si>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</si>
  <si>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</si>
  <si>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</si>
  <si>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</si>
  <si>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</si>
  <si>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</si>
  <si>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</si>
  <si>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</si>
  <si>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</si>
  <si>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</si>
  <si>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</si>
  <si>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</si>
  <si>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</si>
  <si>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</si>
  <si>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</si>
  <si>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</si>
  <si>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</si>
  <si>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</si>
  <si>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</si>
  <si>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</si>
  <si>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</si>
  <si>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</si>
  <si>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</si>
  <si>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</si>
  <si>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</si>
  <si>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</si>
  <si>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</si>
  <si>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</si>
  <si>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</si>
  <si>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</si>
  <si>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</si>
  <si>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</si>
  <si>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</si>
  <si>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</si>
  <si>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</si>
  <si>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</si>
  <si>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</si>
  <si>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</si>
  <si>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</si>
  <si>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</si>
  <si>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</si>
  <si>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</si>
  <si>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</si>
  <si>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</si>
  <si>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</si>
  <si>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</si>
  <si>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</si>
  <si>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</si>
  <si>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</si>
  <si>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</si>
  <si>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</si>
  <si>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</si>
  <si>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</si>
  <si>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</si>
  <si>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</si>
  <si>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</si>
  <si>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</si>
  <si>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</si>
  <si>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</si>
  <si>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</si>
  <si>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</si>
  <si>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</si>
  <si>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</si>
  <si>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</si>
  <si>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</si>
  <si>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</si>
  <si>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</si>
  <si>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</si>
  <si>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</si>
  <si>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</si>
  <si>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</si>
  <si>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</si>
  <si>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</si>
  <si>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</si>
  <si>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</si>
  <si>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</si>
  <si>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</si>
  <si>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</si>
  <si>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</si>
  <si>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</si>
  <si>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</si>
  <si>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</si>
  <si>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</si>
  <si>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</si>
  <si>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</si>
  <si>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</si>
  <si>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</si>
  <si>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</si>
  <si>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</si>
  <si>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</si>
  <si>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</si>
  <si>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</si>
  <si>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</si>
  <si>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</si>
  <si>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</si>
  <si>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</si>
  <si>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</si>
  <si>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</si>
  <si>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</si>
  <si>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</si>
  <si>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</si>
  <si>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</si>
  <si>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</si>
  <si>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</si>
  <si>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</si>
  <si>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</si>
  <si>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</si>
  <si>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</si>
  <si>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</si>
  <si>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</si>
  <si>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</si>
  <si>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</si>
  <si>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</si>
  <si>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</si>
  <si>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</si>
  <si>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</si>
  <si>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</si>
  <si>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</si>
  <si>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</si>
  <si>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</si>
  <si>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</si>
  <si>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</si>
  <si>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</si>
  <si>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</si>
  <si>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</si>
  <si>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</si>
  <si>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</si>
  <si>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</si>
  <si>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</si>
  <si>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</si>
  <si>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</si>
  <si>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</si>
  <si>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</si>
  <si>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</si>
  <si>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</si>
  <si>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</si>
  <si>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</si>
  <si>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</si>
  <si>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</si>
  <si>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</si>
  <si>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</si>
  <si>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</si>
  <si>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</si>
  <si>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</si>
  <si>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</si>
  <si>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</si>
  <si>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</si>
  <si>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</si>
  <si>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</si>
  <si>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</si>
  <si>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</si>
  <si>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</si>
  <si>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</si>
  <si>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</si>
  <si>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</si>
  <si>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</si>
  <si>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</si>
  <si>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</si>
  <si>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</si>
  <si>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</si>
  <si>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</si>
  <si>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</si>
  <si>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</si>
  <si>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</si>
  <si>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</si>
  <si>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</si>
  <si>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</si>
  <si>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</si>
  <si>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</si>
  <si>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</si>
  <si>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</si>
  <si>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</si>
  <si>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</si>
  <si>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</si>
  <si>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</si>
  <si>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</si>
  <si>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</si>
  <si>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</si>
  <si>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</si>
  <si>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</si>
  <si>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</si>
  <si>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</si>
  <si>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</si>
  <si>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</si>
  <si>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</si>
  <si>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</si>
  <si>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</si>
  <si>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</si>
  <si>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</si>
  <si>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</si>
  <si>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</si>
  <si>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</si>
  <si>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</si>
  <si>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</si>
  <si>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</si>
  <si>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</si>
  <si>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</si>
  <si>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</si>
  <si>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</si>
  <si>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</si>
  <si>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</si>
  <si>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</si>
  <si>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</si>
  <si>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</si>
  <si>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</si>
  <si>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</si>
  <si>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</si>
  <si>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</si>
  <si>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</si>
  <si>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</si>
  <si>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</si>
  <si>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</si>
  <si>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</si>
  <si>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</si>
  <si>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</si>
  <si>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</si>
  <si>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</si>
  <si>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</si>
  <si>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</si>
  <si>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</si>
  <si>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</si>
  <si>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</si>
  <si>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</si>
  <si>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</si>
  <si>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</si>
  <si>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</si>
  <si>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</si>
  <si>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</si>
  <si>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</si>
  <si>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</si>
  <si>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</si>
  <si>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</si>
  <si>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</si>
  <si>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</si>
  <si>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</si>
  <si>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</si>
  <si>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</si>
  <si>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</si>
  <si>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</si>
  <si>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</si>
  <si>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</si>
  <si>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</si>
  <si>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</si>
  <si>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</si>
  <si>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</si>
  <si>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</si>
  <si>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</si>
  <si>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</si>
  <si>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</si>
  <si>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</si>
  <si>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</si>
  <si>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</si>
  <si>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</si>
  <si>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</si>
  <si>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</si>
  <si>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</si>
  <si>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</si>
  <si>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</si>
  <si>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</si>
  <si>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</si>
  <si>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</si>
  <si>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</si>
  <si>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</si>
  <si>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</si>
  <si>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</si>
  <si>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</si>
  <si>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</si>
  <si>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</si>
  <si>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</si>
  <si>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</si>
  <si>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</si>
  <si>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</si>
  <si>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</si>
  <si>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</si>
  <si>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</si>
  <si>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</si>
  <si>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</si>
  <si>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</si>
  <si>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</si>
  <si>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</si>
  <si>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</si>
  <si>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</si>
  <si>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</si>
  <si>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</si>
  <si>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</si>
  <si>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</si>
  <si>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</si>
  <si>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</si>
  <si>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</si>
  <si>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</si>
  <si>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</si>
  <si>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</si>
  <si>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</si>
  <si>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</si>
  <si>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</si>
  <si>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</si>
  <si>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</si>
  <si>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</si>
  <si>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</si>
  <si>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</si>
  <si>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</si>
  <si>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</si>
  <si>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</si>
  <si>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</si>
  <si>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</si>
  <si>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</si>
  <si>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</si>
  <si>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</si>
  <si>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</si>
  <si>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</si>
  <si>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</si>
  <si>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</si>
  <si>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</si>
  <si>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</si>
  <si>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</si>
  <si>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</si>
  <si>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</si>
  <si>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</si>
  <si>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</si>
  <si>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</si>
  <si>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</si>
  <si>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</si>
  <si>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</si>
  <si>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</si>
  <si>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</si>
  <si>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</si>
  <si>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</si>
  <si>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</si>
  <si>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</si>
  <si>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</si>
  <si>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</si>
  <si>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</si>
  <si>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</si>
  <si>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</si>
  <si>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</si>
  <si>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</si>
  <si>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</si>
  <si>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</si>
  <si>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</si>
  <si>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</si>
  <si>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</si>
  <si>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</si>
  <si>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</si>
  <si>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</si>
  <si>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</si>
  <si>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</si>
  <si>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</si>
  <si>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</si>
  <si>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</si>
  <si>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</si>
  <si>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</si>
  <si>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</si>
  <si>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</si>
  <si>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</si>
  <si>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</si>
  <si>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</si>
  <si>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</si>
  <si>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</si>
  <si>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</si>
  <si>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</si>
  <si>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</si>
  <si>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</si>
  <si>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</si>
  <si>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</si>
  <si>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</si>
  <si>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</si>
  <si>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</si>
  <si>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</si>
  <si>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</si>
  <si>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</si>
  <si>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</si>
  <si>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</si>
  <si>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</si>
  <si>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</si>
  <si>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</si>
  <si>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</si>
  <si>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</si>
  <si>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</si>
  <si>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</si>
  <si>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</si>
  <si>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</si>
  <si>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</si>
  <si>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</si>
  <si>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</si>
  <si>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</si>
  <si>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</si>
  <si>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</si>
  <si>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</si>
  <si>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</si>
  <si>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</si>
  <si>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</si>
  <si>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</si>
  <si>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</si>
  <si>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</si>
  <si>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</si>
  <si>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</si>
  <si>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</si>
  <si>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</si>
  <si>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</si>
  <si>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</si>
  <si>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</si>
  <si>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</si>
  <si>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</si>
  <si>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</si>
  <si>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</si>
  <si>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</si>
  <si>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</si>
  <si>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</si>
  <si>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</si>
  <si>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</si>
  <si>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</si>
  <si>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</si>
  <si>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</si>
  <si>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</si>
  <si>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</si>
  <si>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</si>
  <si>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</si>
  <si>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</si>
  <si>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</si>
  <si>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</si>
  <si>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</si>
  <si>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</si>
  <si>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</si>
  <si>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</si>
  <si>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</si>
  <si>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</si>
  <si>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</si>
  <si>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</si>
  <si>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</si>
  <si>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</si>
  <si>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</si>
  <si>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</si>
  <si>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</si>
  <si>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</si>
  <si>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</si>
  <si>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</si>
  <si>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</si>
  <si>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</si>
  <si>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</si>
  <si>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</si>
  <si>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</si>
  <si>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</si>
  <si>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</si>
  <si>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</si>
  <si>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</si>
  <si>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</si>
  <si>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</si>
  <si>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</si>
  <si>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</si>
  <si>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</si>
  <si>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</si>
  <si>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</si>
  <si>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</si>
  <si>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</si>
  <si>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</si>
  <si>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</si>
  <si>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</si>
  <si>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</si>
  <si>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</si>
  <si>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</si>
  <si>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</si>
  <si>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</si>
  <si>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</si>
  <si>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</si>
  <si>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</si>
  <si>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</si>
  <si>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</si>
  <si>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</si>
  <si>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</si>
  <si>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</si>
  <si>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</si>
  <si>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</si>
  <si>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</si>
  <si>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</si>
  <si>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</si>
  <si>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</si>
  <si>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</si>
  <si>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</si>
  <si>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</si>
  <si>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</si>
  <si>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</si>
  <si>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</si>
  <si>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</si>
  <si>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</si>
  <si>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</si>
  <si>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</si>
  <si>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</si>
  <si>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</si>
  <si>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</si>
  <si>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</si>
  <si>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</si>
  <si>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</si>
  <si>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</si>
  <si>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</si>
  <si>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</si>
  <si>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</si>
  <si>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</si>
  <si>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</si>
  <si>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</si>
  <si>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</si>
  <si>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</si>
  <si>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</si>
  <si>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</si>
  <si>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</si>
  <si>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</si>
  <si>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</si>
  <si>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</si>
  <si>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</si>
  <si>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</si>
  <si>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</si>
  <si>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</si>
  <si>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</si>
  <si>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</si>
  <si>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</si>
  <si>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</si>
  <si>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</si>
  <si>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</si>
  <si>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</si>
  <si>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</si>
  <si>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</si>
  <si>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</si>
  <si>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</si>
  <si>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</si>
  <si>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</si>
  <si>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</si>
  <si>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</si>
  <si>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</si>
  <si>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</si>
  <si>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</si>
  <si>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</si>
  <si>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</si>
  <si>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</si>
  <si>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</si>
  <si>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</si>
  <si>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</si>
  <si>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</si>
  <si>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</si>
  <si>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</si>
  <si>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</si>
  <si>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</si>
  <si>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</si>
  <si>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</si>
  <si>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</si>
  <si>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</si>
  <si>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</si>
  <si>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</si>
  <si>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</si>
  <si>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</si>
  <si>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</si>
  <si>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</si>
  <si>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</si>
  <si>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</si>
  <si>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</si>
  <si>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</si>
  <si>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</si>
  <si>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</si>
  <si>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</si>
  <si>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</si>
  <si>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</si>
  <si>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</si>
  <si>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</si>
  <si>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</si>
  <si>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</si>
  <si>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</si>
  <si>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</si>
  <si>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</si>
  <si>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</si>
  <si>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</si>
  <si>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</si>
  <si>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</si>
  <si>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</si>
  <si>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</si>
  <si>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</si>
  <si>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</si>
  <si>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</si>
  <si>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</si>
  <si>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</si>
  <si>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</si>
  <si>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</si>
  <si>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</si>
  <si>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</si>
  <si>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</si>
  <si>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</si>
  <si>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</si>
  <si>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</si>
  <si>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</si>
  <si>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</si>
  <si>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</si>
  <si>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</si>
  <si>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</si>
  <si>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</si>
  <si>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</si>
  <si>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</si>
  <si>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</si>
  <si>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</si>
  <si>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</si>
  <si>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</si>
  <si>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</si>
  <si>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</si>
  <si>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</si>
  <si>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</si>
  <si>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</si>
  <si>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</si>
  <si>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</si>
  <si>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</si>
  <si>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</si>
  <si>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</si>
  <si>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</si>
  <si>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</si>
  <si>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</si>
  <si>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</si>
  <si>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</si>
  <si>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</si>
  <si>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</si>
  <si>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</si>
  <si>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</si>
  <si>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</si>
  <si>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</si>
  <si>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</si>
  <si>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</si>
  <si>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</si>
  <si>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</si>
  <si>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</si>
  <si>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</si>
  <si>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</si>
  <si>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</si>
  <si>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</si>
  <si>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</si>
  <si>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</si>
  <si>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</si>
  <si>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</si>
  <si>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</si>
  <si>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</si>
  <si>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</si>
  <si>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</si>
  <si>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</si>
  <si>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</si>
  <si>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</si>
  <si>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</si>
  <si>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</si>
  <si>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</si>
  <si>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</si>
  <si>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</si>
  <si>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</si>
  <si>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</si>
  <si>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</si>
  <si>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</si>
  <si>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</si>
  <si>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</si>
  <si>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</si>
  <si>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</si>
  <si>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</si>
  <si>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</si>
  <si>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</si>
  <si>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</si>
  <si>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</si>
  <si>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</si>
  <si>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</si>
  <si>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</si>
  <si>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</si>
  <si>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</si>
  <si>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</si>
  <si>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</si>
  <si>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</si>
  <si>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</si>
  <si>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</si>
  <si>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</si>
  <si>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</si>
  <si>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</si>
  <si>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</si>
  <si>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</si>
  <si>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</si>
  <si>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</si>
  <si>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</si>
  <si>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</si>
  <si>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</si>
  <si>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</si>
  <si>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</si>
  <si>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</si>
  <si>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</si>
  <si>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</si>
  <si>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</si>
  <si>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</si>
  <si>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</si>
  <si>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</si>
  <si>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</si>
  <si>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</si>
  <si>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</si>
  <si>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</si>
  <si>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</si>
  <si>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</si>
  <si>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</si>
  <si>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</si>
  <si>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</si>
  <si>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</si>
  <si>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</si>
  <si>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</si>
  <si>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</si>
  <si>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</si>
  <si>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</si>
  <si>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</si>
  <si>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</si>
  <si>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</si>
  <si>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</si>
  <si>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</si>
  <si>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</si>
  <si>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</si>
  <si>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</si>
  <si>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</si>
  <si>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</si>
  <si>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</si>
  <si>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</si>
  <si>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</si>
  <si>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</si>
  <si>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</si>
  <si>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</si>
  <si>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</si>
  <si>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</si>
  <si>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</si>
  <si>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</si>
  <si>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</si>
  <si>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</si>
  <si>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</si>
  <si>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</si>
  <si>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</si>
  <si>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</si>
  <si>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</si>
  <si>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</si>
  <si>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</si>
  <si>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</si>
  <si>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</si>
  <si>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</si>
  <si>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</si>
  <si>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</si>
  <si>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</si>
  <si>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</si>
  <si>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</si>
  <si>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</si>
  <si>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</si>
  <si>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</si>
  <si>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</si>
  <si>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</si>
  <si>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</si>
  <si>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</si>
  <si>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</si>
  <si>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</si>
  <si>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</si>
  <si>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</si>
  <si>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</si>
  <si>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</si>
  <si>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</si>
  <si>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</si>
  <si>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</si>
  <si>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</si>
  <si>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</si>
  <si>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</si>
  <si>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</si>
  <si>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</si>
  <si>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</si>
  <si>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</si>
  <si>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</si>
  <si>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</si>
  <si>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</si>
  <si>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</si>
  <si>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</si>
  <si>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</si>
  <si>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</si>
  <si>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</si>
  <si>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</si>
  <si>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</si>
  <si>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</si>
  <si>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</si>
  <si>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</si>
  <si>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</si>
  <si>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</si>
  <si>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</si>
  <si>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</si>
  <si>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</si>
  <si>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</si>
  <si>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</si>
  <si>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</si>
  <si>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</si>
  <si>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</si>
  <si>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</si>
  <si>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</si>
  <si>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</si>
  <si>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</si>
  <si>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</si>
  <si>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</si>
  <si>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</si>
  <si>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</si>
  <si>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</si>
  <si>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</si>
  <si>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</si>
  <si>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</si>
  <si>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</si>
  <si>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</si>
  <si>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</si>
  <si>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</si>
  <si>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</si>
  <si>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</si>
  <si>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</si>
  <si>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</si>
  <si>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</si>
  <si>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</si>
  <si>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</si>
  <si>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</si>
  <si>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</si>
  <si>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</si>
  <si>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</si>
  <si>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</si>
  <si>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</si>
  <si>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</si>
  <si>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</si>
  <si>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</si>
  <si>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</si>
  <si>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</si>
  <si>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</si>
  <si>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</si>
  <si>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</si>
  <si>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</si>
  <si>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</si>
  <si>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</si>
  <si>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</si>
  <si>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</si>
  <si>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</si>
  <si>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</si>
  <si>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</si>
  <si>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</si>
  <si>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</si>
  <si>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</si>
  <si>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</si>
  <si>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</si>
  <si>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</si>
  <si>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</si>
  <si>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</si>
  <si>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</si>
  <si>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</si>
  <si>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</si>
  <si>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</si>
  <si>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</si>
  <si>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</si>
  <si>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</si>
  <si>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</si>
  <si>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</si>
  <si>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</si>
  <si>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</si>
  <si>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</si>
  <si>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</si>
  <si>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</si>
  <si>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</si>
  <si>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</si>
  <si>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</si>
  <si>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</si>
  <si>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</si>
  <si>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</si>
  <si>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</si>
  <si>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</si>
  <si>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</si>
  <si>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</si>
  <si>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</si>
  <si>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</si>
  <si>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</si>
  <si>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</si>
  <si>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</si>
  <si>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</si>
  <si>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</si>
  <si>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</si>
  <si>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</si>
  <si>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</si>
  <si>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</si>
  <si>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</si>
  <si>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</si>
  <si>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</si>
  <si>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</si>
  <si>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</si>
  <si>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</si>
  <si>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</si>
  <si>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</si>
  <si>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</si>
  <si>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</si>
  <si>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</si>
  <si>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</si>
  <si>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</si>
  <si>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</si>
  <si>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</si>
  <si>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</si>
  <si>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</si>
  <si>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</si>
  <si>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</si>
  <si>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</si>
  <si>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</si>
  <si>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</si>
  <si>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</si>
  <si>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</si>
  <si>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</si>
  <si>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</si>
  <si>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</si>
  <si>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</si>
  <si>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</si>
  <si>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</si>
  <si>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</si>
  <si>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</si>
  <si>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</si>
  <si>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</si>
  <si>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</si>
  <si>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</si>
  <si>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</si>
  <si>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</si>
  <si>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</si>
  <si>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</si>
  <si>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</si>
  <si>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</si>
  <si>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</si>
  <si>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</si>
  <si>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</si>
  <si>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</si>
  <si>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</si>
  <si>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</si>
  <si>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</si>
  <si>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</si>
  <si>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</si>
  <si>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</si>
  <si>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</si>
  <si>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</si>
  <si>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</si>
  <si>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</si>
  <si>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</si>
  <si>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</si>
  <si>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</si>
  <si>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</si>
  <si>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</si>
  <si>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</si>
  <si>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</si>
  <si>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</si>
  <si>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</si>
  <si>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</si>
  <si>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</si>
  <si>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</si>
  <si>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</si>
  <si>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</si>
  <si>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</si>
  <si>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</si>
  <si>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</si>
  <si>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</si>
  <si>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</si>
  <si>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</si>
  <si>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</si>
  <si>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</si>
  <si>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</si>
  <si>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</si>
  <si>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</si>
  <si>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</si>
  <si>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</si>
  <si>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</si>
  <si>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</si>
  <si>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</si>
  <si>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</si>
  <si>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</si>
  <si>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</si>
  <si>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</si>
  <si>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</si>
  <si>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</si>
  <si>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</si>
  <si>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</si>
  <si>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</si>
  <si>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</si>
  <si>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</si>
  <si>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</si>
  <si>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</si>
  <si>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</si>
  <si>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</si>
  <si>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</si>
  <si>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</si>
  <si>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</si>
  <si>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</si>
  <si>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</si>
  <si>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</si>
  <si>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</si>
  <si>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</si>
  <si>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</si>
  <si>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</si>
  <si>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</si>
  <si>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</si>
  <si>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</si>
  <si>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</si>
  <si>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</si>
  <si>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</si>
  <si>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</si>
  <si>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</si>
  <si>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</si>
  <si>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</si>
  <si>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</si>
  <si>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</si>
  <si>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</si>
  <si>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</si>
  <si>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</si>
  <si>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</si>
  <si>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</si>
  <si>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</si>
  <si>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</si>
  <si>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</si>
  <si>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</si>
  <si>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</si>
  <si>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</si>
  <si>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</si>
  <si>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</si>
  <si>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</si>
  <si>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</si>
  <si>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</si>
  <si>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</si>
  <si>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</si>
  <si>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</si>
  <si>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</si>
  <si>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</si>
  <si>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</si>
  <si>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</si>
  <si>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</si>
  <si>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</si>
  <si>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</si>
  <si>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</si>
  <si>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</si>
  <si>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</si>
  <si>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</si>
  <si>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</si>
  <si>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</si>
  <si>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</si>
  <si>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</si>
  <si>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</si>
  <si>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</si>
  <si>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</si>
  <si>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</si>
  <si>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</si>
  <si>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</si>
  <si>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</si>
  <si>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</si>
  <si>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</si>
  <si>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</si>
  <si>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</si>
  <si>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</si>
  <si>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</si>
  <si>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</si>
  <si>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</si>
  <si>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</si>
  <si>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</si>
  <si>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</si>
  <si>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</si>
  <si>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</si>
  <si>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</si>
  <si>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</si>
  <si>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</si>
  <si>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</si>
  <si>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</si>
  <si>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</si>
  <si>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</si>
  <si>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</si>
  <si>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</si>
  <si>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</si>
  <si>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</si>
  <si>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</si>
  <si>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</si>
  <si>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</si>
  <si>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</si>
  <si>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</si>
  <si>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</si>
  <si>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</si>
  <si>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</si>
  <si>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</si>
  <si>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</si>
  <si>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</si>
  <si>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</si>
  <si>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</si>
  <si>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</si>
  <si>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</si>
  <si>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</si>
  <si>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</si>
  <si>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</si>
  <si>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</si>
  <si>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</si>
  <si>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</si>
  <si>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</si>
  <si>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</si>
  <si>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</si>
  <si>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</si>
  <si>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</si>
  <si>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</si>
  <si>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</si>
  <si>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</si>
  <si>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</si>
  <si>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</si>
  <si>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</si>
  <si>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</si>
  <si>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</si>
  <si>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</si>
  <si>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</si>
  <si>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</si>
  <si>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</si>
  <si>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</si>
  <si>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</si>
  <si>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</si>
  <si>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</si>
  <si>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</si>
  <si>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</si>
  <si>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</si>
  <si>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</si>
  <si>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</si>
  <si>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</si>
  <si>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</si>
  <si>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</si>
  <si>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</si>
  <si>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</si>
  <si>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</si>
  <si>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</si>
  <si>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</si>
  <si>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</si>
  <si>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</si>
  <si>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</si>
  <si>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</si>
  <si>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</si>
  <si>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</si>
  <si>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</si>
  <si>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</si>
  <si>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</si>
  <si>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</si>
  <si>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</si>
  <si>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</si>
  <si>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</si>
  <si>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</si>
  <si>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</si>
  <si>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</si>
  <si>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</si>
  <si>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</si>
  <si>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</si>
  <si>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</si>
  <si>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</si>
  <si>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</si>
  <si>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</si>
  <si>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</si>
  <si>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</si>
  <si>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</si>
  <si>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</si>
  <si>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</si>
  <si>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</si>
  <si>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</si>
  <si>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</si>
  <si>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</si>
  <si>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</si>
  <si>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</si>
  <si>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</si>
  <si>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</si>
  <si>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</si>
  <si>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</si>
  <si>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</si>
  <si>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</si>
  <si>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</si>
  <si>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</si>
  <si>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</si>
  <si>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</si>
  <si>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</si>
  <si>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</si>
  <si>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</si>
  <si>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</si>
  <si>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</si>
  <si>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</si>
  <si>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</si>
  <si>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</si>
  <si>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</si>
  <si>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</si>
  <si>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</si>
  <si>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</si>
  <si>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</si>
  <si>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</si>
  <si>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</si>
  <si>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</si>
  <si>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</si>
  <si>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</si>
  <si>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</si>
  <si>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</si>
  <si>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</si>
  <si>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</si>
  <si>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</si>
  <si>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</si>
  <si>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</si>
  <si>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</si>
  <si>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</si>
  <si>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</si>
  <si>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</si>
  <si>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</si>
  <si>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</si>
  <si>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</si>
  <si>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</si>
  <si>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</si>
  <si>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</si>
  <si>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</si>
  <si>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</si>
  <si>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</si>
  <si>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</si>
  <si>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</si>
  <si>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</si>
  <si>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</si>
  <si>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</si>
  <si>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</si>
  <si>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</si>
  <si>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</si>
  <si>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</si>
  <si>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</si>
  <si>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</si>
  <si>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</si>
  <si>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</si>
  <si>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</si>
  <si>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</si>
  <si>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</si>
  <si>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</si>
  <si>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</si>
  <si>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</si>
  <si>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</si>
  <si>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</si>
  <si>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</si>
  <si>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</si>
  <si>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</si>
  <si>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</si>
  <si>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</si>
  <si>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</si>
  <si>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</si>
  <si>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</si>
  <si>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</si>
  <si>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</si>
  <si>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</si>
  <si>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</si>
  <si>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</si>
  <si>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</si>
  <si>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</si>
  <si>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</si>
  <si>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</si>
  <si>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</si>
  <si>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</si>
  <si>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</si>
  <si>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</si>
  <si>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</si>
  <si>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</si>
  <si>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</si>
  <si>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</si>
  <si>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</si>
  <si>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</si>
  <si>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</si>
  <si>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</si>
  <si>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</si>
  <si>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</si>
  <si>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</si>
  <si>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</si>
  <si>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</si>
  <si>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</si>
  <si>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</si>
  <si>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</si>
  <si>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</si>
  <si>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</si>
  <si>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</si>
  <si>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</si>
  <si>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</si>
  <si>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</si>
  <si>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</si>
  <si>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</si>
  <si>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</si>
  <si>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</si>
  <si>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</si>
  <si>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</si>
  <si>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</si>
  <si>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</si>
  <si>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</si>
  <si>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</si>
  <si>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</si>
  <si>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</si>
  <si>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</si>
  <si>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</si>
  <si>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</si>
  <si>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</si>
  <si>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</si>
  <si>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</si>
  <si>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</si>
  <si>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</si>
  <si>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</si>
  <si>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</si>
  <si>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</si>
  <si>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</si>
  <si>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</si>
  <si>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</si>
  <si>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</si>
  <si>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</si>
  <si>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</si>
  <si>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</si>
  <si>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</si>
  <si>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</si>
  <si>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</si>
  <si>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</si>
  <si>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</si>
  <si>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</si>
  <si>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</si>
  <si>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</si>
  <si>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</si>
  <si>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</si>
  <si>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</si>
  <si>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</si>
  <si>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</si>
  <si>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</si>
  <si>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</si>
  <si>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</si>
  <si>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</si>
  <si>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</si>
  <si>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</si>
  <si>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</si>
  <si>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</si>
  <si>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</si>
  <si>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</si>
  <si>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</si>
  <si>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</si>
  <si>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</si>
  <si>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</si>
  <si>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</si>
  <si>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</si>
  <si>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</si>
  <si>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</si>
  <si>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</si>
  <si>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</si>
  <si>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</si>
  <si>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</si>
  <si>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</si>
  <si>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</si>
  <si>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</si>
  <si>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</si>
  <si>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</si>
  <si>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</si>
  <si>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</si>
  <si>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</si>
  <si>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</si>
  <si>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</si>
  <si>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</si>
  <si>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</si>
  <si>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</si>
  <si>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</si>
  <si>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</si>
  <si>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</si>
  <si>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</si>
  <si>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</si>
  <si>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</si>
  <si>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</si>
  <si>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</si>
  <si>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</si>
  <si>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</si>
  <si>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</si>
  <si>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</si>
  <si>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</si>
  <si>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</si>
  <si>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</si>
  <si>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</si>
  <si>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</si>
  <si>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</si>
  <si>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</si>
  <si>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</si>
  <si>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</si>
  <si>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</si>
  <si>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</si>
  <si>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</si>
  <si>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</si>
  <si>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</si>
  <si>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</si>
  <si>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</si>
  <si>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</si>
  <si>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</si>
  <si>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</si>
  <si>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</si>
  <si>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</si>
  <si>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</si>
  <si>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</si>
  <si>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</si>
  <si>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</si>
  <si>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</si>
  <si>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</si>
  <si>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</si>
  <si>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</si>
  <si>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</si>
  <si>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</si>
  <si>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</si>
  <si>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</si>
  <si>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</si>
  <si>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</si>
  <si>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</si>
  <si>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</si>
  <si>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</si>
  <si>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</si>
  <si>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</si>
  <si>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</si>
  <si>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</si>
  <si>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</si>
  <si>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</si>
  <si>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</si>
  <si>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</si>
  <si>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</si>
  <si>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</si>
  <si>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</si>
  <si>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</si>
  <si>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</si>
  <si>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</si>
  <si>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</si>
  <si>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</si>
  <si>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</si>
  <si>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</si>
  <si>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</si>
  <si>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</si>
  <si>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</si>
  <si>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</si>
  <si>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</si>
  <si>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</si>
  <si>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</si>
  <si>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</si>
  <si>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</si>
  <si>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</si>
  <si>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</si>
  <si>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</si>
  <si>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</si>
  <si>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</si>
  <si>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</si>
  <si>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</si>
  <si>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</si>
  <si>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</si>
  <si>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</si>
  <si>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</si>
  <si>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</si>
  <si>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</si>
  <si>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</si>
  <si>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</si>
  <si>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</si>
  <si>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</si>
  <si>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</si>
  <si>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</si>
  <si>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</si>
  <si>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</si>
  <si>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</si>
  <si>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</si>
  <si>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</si>
  <si>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</si>
  <si>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</si>
  <si>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</si>
  <si>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</si>
  <si>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</si>
  <si>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</si>
  <si>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</si>
  <si>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</si>
  <si>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</si>
  <si>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</si>
  <si>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</si>
  <si>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</si>
  <si>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</si>
  <si>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</si>
  <si>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</si>
  <si>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</si>
  <si>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</si>
  <si>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</si>
  <si>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</si>
  <si>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</si>
  <si>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</si>
  <si>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</si>
  <si>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</si>
  <si>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</si>
  <si>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</si>
  <si>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</si>
  <si>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</si>
  <si>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</si>
  <si>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</si>
  <si>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</si>
  <si>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</si>
  <si>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</si>
  <si>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</si>
  <si>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</si>
  <si>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</si>
  <si>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</si>
  <si>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</si>
  <si>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</si>
  <si>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</si>
  <si>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</si>
  <si>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</si>
  <si>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</si>
  <si>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</si>
  <si>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</si>
  <si>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</si>
  <si>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</si>
  <si>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</si>
  <si>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</si>
  <si>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</si>
  <si>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</si>
  <si>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</si>
  <si>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</si>
  <si>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</si>
  <si>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</si>
  <si>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</si>
  <si>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</si>
  <si>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</si>
  <si>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</si>
  <si>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</si>
  <si>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</si>
  <si>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</si>
  <si>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</si>
  <si>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</si>
  <si>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</si>
  <si>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</si>
  <si>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</si>
  <si>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</si>
  <si>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</si>
  <si>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</si>
  <si>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</si>
  <si>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</si>
  <si>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</si>
  <si>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</si>
  <si>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</si>
  <si>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</si>
  <si>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</si>
  <si>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</si>
  <si>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</si>
  <si>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</si>
  <si>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</si>
  <si>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</si>
  <si>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</si>
  <si>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</si>
  <si>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</si>
  <si>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</si>
  <si>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</si>
  <si>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</si>
  <si>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</si>
  <si>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</si>
  <si>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</si>
  <si>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</si>
  <si>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</si>
  <si>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</si>
  <si>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</si>
  <si>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</si>
  <si>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</si>
  <si>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</si>
  <si>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</si>
  <si>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</si>
  <si>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</si>
  <si>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</si>
  <si>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</si>
  <si>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</si>
  <si>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</si>
  <si>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</si>
  <si>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</si>
  <si>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</si>
  <si>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</si>
  <si>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</si>
  <si>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</si>
  <si>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</si>
  <si>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</si>
  <si>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</si>
  <si>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</si>
  <si>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</si>
  <si>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</si>
  <si>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</si>
  <si>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</si>
  <si>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</si>
  <si>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</si>
  <si>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</si>
  <si>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</si>
  <si>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</si>
  <si>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</si>
  <si>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</si>
  <si>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</si>
  <si>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</si>
  <si>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</si>
  <si>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</si>
  <si>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</si>
  <si>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</si>
  <si>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</si>
  <si>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</si>
  <si>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</si>
  <si>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</si>
  <si>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</si>
  <si>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</si>
  <si>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</si>
  <si>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</si>
  <si>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</si>
  <si>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</si>
  <si>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</si>
  <si>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</si>
  <si>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</si>
  <si>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</si>
  <si>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</si>
  <si>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</si>
  <si>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</si>
  <si>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</si>
  <si>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</si>
  <si>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</si>
  <si>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</si>
  <si>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</si>
  <si>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</si>
  <si>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</si>
  <si>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</si>
  <si>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</si>
  <si>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</si>
  <si>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</si>
  <si>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</si>
  <si>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</si>
  <si>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</si>
  <si>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</si>
  <si>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</si>
  <si>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</si>
  <si>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</si>
  <si>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</si>
  <si>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</si>
  <si>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</si>
  <si>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</si>
  <si>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</si>
  <si>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</si>
  <si>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</si>
  <si>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</si>
  <si>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</si>
  <si>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</si>
  <si>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</si>
  <si>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</si>
  <si>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</si>
  <si>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</si>
  <si>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</si>
  <si>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</si>
  <si>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</si>
  <si>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</si>
  <si>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</si>
  <si>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</si>
  <si>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</si>
  <si>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</si>
  <si>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</si>
  <si>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</si>
  <si>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</si>
  <si>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</si>
  <si>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</si>
  <si>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</si>
  <si>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</si>
  <si>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</si>
  <si>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</si>
  <si>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</si>
  <si>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</si>
  <si>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</si>
  <si>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</si>
  <si>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</si>
  <si>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</si>
  <si>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</si>
  <si>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</si>
  <si>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</si>
  <si>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</si>
  <si>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</si>
  <si>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</si>
  <si>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</si>
  <si>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</si>
  <si>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</si>
  <si>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</si>
  <si>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</si>
  <si>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</si>
  <si>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</si>
  <si>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</si>
  <si>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</si>
  <si>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</si>
  <si>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</si>
  <si>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</si>
  <si>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</si>
  <si>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</si>
  <si>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</si>
  <si>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</si>
  <si>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</si>
  <si>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</si>
  <si>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</si>
  <si>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</si>
  <si>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</si>
  <si>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</si>
  <si>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</si>
  <si>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</si>
  <si>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</si>
  <si>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</si>
  <si>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</si>
  <si>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</si>
  <si>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</si>
  <si>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</si>
  <si>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</si>
  <si>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</si>
  <si>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</si>
  <si>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</si>
  <si>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</si>
  <si>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</si>
  <si>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</si>
  <si>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</si>
  <si>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</si>
  <si>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</si>
  <si>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</si>
  <si>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</si>
  <si>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</si>
  <si>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</si>
  <si>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</si>
  <si>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</si>
  <si>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</si>
  <si>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</si>
  <si>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</si>
  <si>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</si>
  <si>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</si>
  <si>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</si>
  <si>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</si>
  <si>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</si>
  <si>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</si>
  <si>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</si>
  <si>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</si>
  <si>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</si>
  <si>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</si>
  <si>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</si>
  <si>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</si>
  <si>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</si>
  <si>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</si>
  <si>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</si>
  <si>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</si>
  <si>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</si>
  <si>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</si>
  <si>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</si>
  <si>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</si>
  <si>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</si>
  <si>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</si>
  <si>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</si>
  <si>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</si>
  <si>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</si>
  <si>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</si>
  <si>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</si>
  <si>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</si>
  <si>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</si>
  <si>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</si>
  <si>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</si>
  <si>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</si>
  <si>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</si>
  <si>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</si>
  <si>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</si>
  <si>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</si>
  <si>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</si>
  <si>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</si>
  <si>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</si>
  <si>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</si>
  <si>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</si>
  <si>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</si>
  <si>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</si>
  <si>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</si>
  <si>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</si>
  <si>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</si>
  <si>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</si>
  <si>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</si>
  <si>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</si>
  <si>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</si>
  <si>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</si>
  <si>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</si>
  <si>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</si>
  <si>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</si>
  <si>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</si>
  <si>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</si>
  <si>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</si>
  <si>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</si>
  <si>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</si>
  <si>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</si>
  <si>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</si>
  <si>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</si>
  <si>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</si>
  <si>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</si>
  <si>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</si>
  <si>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</si>
  <si>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</si>
  <si>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</si>
  <si>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</si>
  <si>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</si>
  <si>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</si>
  <si>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</si>
  <si>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</si>
  <si>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</si>
  <si>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</si>
  <si>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</si>
  <si>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</si>
  <si>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</si>
  <si>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</si>
  <si>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</si>
  <si>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</si>
  <si>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</si>
  <si>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</si>
  <si>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</si>
  <si>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</si>
  <si>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</si>
  <si>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</si>
  <si>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</si>
  <si>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</si>
  <si>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</si>
  <si>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</si>
  <si>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</si>
  <si>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</si>
  <si>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</si>
  <si>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</si>
  <si>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</si>
  <si>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</si>
  <si>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</si>
  <si>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</si>
  <si>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</si>
  <si>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</si>
  <si>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</si>
  <si>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</si>
  <si>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</si>
  <si>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</si>
  <si>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</si>
  <si>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</si>
  <si>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</si>
  <si>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</si>
  <si>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</si>
  <si>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</si>
  <si>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</si>
  <si>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</si>
  <si>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</si>
  <si>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</si>
  <si>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</si>
  <si>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</si>
  <si>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</si>
  <si>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</si>
  <si>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</si>
  <si>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</si>
  <si>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</si>
  <si>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</si>
  <si>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</si>
  <si>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</si>
  <si>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</si>
  <si>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</si>
  <si>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</si>
  <si>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</si>
  <si>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</si>
  <si>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</si>
  <si>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</si>
  <si>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</si>
  <si>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</si>
  <si>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</si>
  <si>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</si>
  <si>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</si>
  <si>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</si>
  <si>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</si>
  <si>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</si>
  <si>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</si>
  <si>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</si>
  <si>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</si>
  <si>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</si>
  <si>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</si>
  <si>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</si>
  <si>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</si>
  <si>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</si>
  <si>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</si>
  <si>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</si>
  <si>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</si>
  <si>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</si>
  <si>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</si>
  <si>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</si>
  <si>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</si>
  <si>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</si>
  <si>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</si>
  <si>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</si>
  <si>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</si>
  <si>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</si>
  <si>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</si>
  <si>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</si>
  <si>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</si>
  <si>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</si>
  <si>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</si>
  <si>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</si>
  <si>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</si>
  <si>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</si>
  <si>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</si>
  <si>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</si>
  <si>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</si>
  <si>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</si>
  <si>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</si>
  <si>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</si>
  <si>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</si>
  <si>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</si>
  <si>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</si>
  <si>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</si>
  <si>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</si>
  <si>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</si>
  <si>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</si>
  <si>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</si>
  <si>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</si>
  <si>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</si>
  <si>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</si>
  <si>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</si>
  <si>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</si>
  <si>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</si>
  <si>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</si>
  <si>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</si>
  <si>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</si>
  <si>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</si>
  <si>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</si>
  <si>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</si>
  <si>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</si>
  <si>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</si>
  <si>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</si>
  <si>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</si>
  <si>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</si>
  <si>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</si>
  <si>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</si>
  <si>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</si>
  <si>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</si>
  <si>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</si>
  <si>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</si>
  <si>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</si>
  <si>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</si>
  <si>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</si>
  <si>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</si>
  <si>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</si>
  <si>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</si>
  <si>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</si>
  <si>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</si>
  <si>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</si>
  <si>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</si>
  <si>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</si>
  <si>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</si>
  <si>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</si>
  <si>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</si>
  <si>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</si>
  <si>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</si>
  <si>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</si>
  <si>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</si>
  <si>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</si>
  <si>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</si>
  <si>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</si>
  <si>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</si>
  <si>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</si>
  <si>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</si>
  <si>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</si>
  <si>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</si>
  <si>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</si>
  <si>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</si>
  <si>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</si>
  <si>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</si>
  <si>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</si>
  <si>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</si>
  <si>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</si>
  <si>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</si>
  <si>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</si>
  <si>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</si>
  <si>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</si>
  <si>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</si>
  <si>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</si>
  <si>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</si>
  <si>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</si>
  <si>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</si>
  <si>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</si>
  <si>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</si>
  <si>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</si>
  <si>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</si>
  <si>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</si>
  <si>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</si>
  <si>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</si>
  <si>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</si>
  <si>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</si>
  <si>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</si>
  <si>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</si>
  <si>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</si>
  <si>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</si>
  <si>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</si>
  <si>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</si>
  <si>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</si>
  <si>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</si>
  <si>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</si>
  <si>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</si>
  <si>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</si>
  <si>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</si>
  <si>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</si>
  <si>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</si>
  <si>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</si>
  <si>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</si>
  <si>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</si>
  <si>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</si>
  <si>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</si>
  <si>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</si>
  <si>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</si>
  <si>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</si>
  <si>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</si>
  <si>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</si>
  <si>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</si>
  <si>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</si>
  <si>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</si>
  <si>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</si>
  <si>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</si>
  <si>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</si>
  <si>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</si>
  <si>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</si>
  <si>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</si>
  <si>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</si>
  <si>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</si>
  <si>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</si>
  <si>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</si>
  <si>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</si>
  <si>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</si>
  <si>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</si>
  <si>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</si>
  <si>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</si>
  <si>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</si>
  <si>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</si>
  <si>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</si>
  <si>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</si>
  <si>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</si>
  <si>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</si>
  <si>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</si>
  <si>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</si>
  <si>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</si>
  <si>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</si>
  <si>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</si>
  <si>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</si>
  <si>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</si>
  <si>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</si>
  <si>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</si>
  <si>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</si>
  <si>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</si>
  <si>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</si>
  <si>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</si>
  <si>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</si>
  <si>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</si>
  <si>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</si>
  <si>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</si>
  <si>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</si>
  <si>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</si>
  <si>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</si>
  <si>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</si>
  <si>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</si>
  <si>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</si>
  <si>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</si>
  <si>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</si>
  <si>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</si>
  <si>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</si>
  <si>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</si>
  <si>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</si>
  <si>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</si>
  <si>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</si>
  <si>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</si>
  <si>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</si>
  <si>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</si>
  <si>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</si>
  <si>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</si>
  <si>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</si>
  <si>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</si>
  <si>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</si>
  <si>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</si>
  <si>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</si>
  <si>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</si>
  <si>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</si>
  <si>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</si>
  <si>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</si>
  <si>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</si>
  <si>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</si>
  <si>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</si>
  <si>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</si>
  <si>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</si>
  <si>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</si>
  <si>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</si>
  <si>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</si>
  <si>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</si>
  <si>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</si>
  <si>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</si>
  <si>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</si>
  <si>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</si>
  <si>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</si>
  <si>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</si>
  <si>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</si>
  <si>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</si>
  <si>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</si>
  <si>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</si>
  <si>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</si>
  <si>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</si>
  <si>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</si>
  <si>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</si>
  <si>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</si>
  <si>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</si>
  <si>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</si>
  <si>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</si>
  <si>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</si>
  <si>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</si>
  <si>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</si>
  <si>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</si>
  <si>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</si>
  <si>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</si>
  <si>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</si>
  <si>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</si>
  <si>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</si>
  <si>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</si>
  <si>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</si>
  <si>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</si>
  <si>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</si>
  <si>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</si>
  <si>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</si>
  <si>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</si>
  <si>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</si>
  <si>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</si>
  <si>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</si>
  <si>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</si>
  <si>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</si>
  <si>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</si>
  <si>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</si>
  <si>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</si>
  <si>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</si>
  <si>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</si>
  <si>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</si>
  <si>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</si>
  <si>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</si>
  <si>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</si>
  <si>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</si>
  <si>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</si>
  <si>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</si>
  <si>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</si>
  <si>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</si>
  <si>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</si>
  <si>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</si>
  <si>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</si>
  <si>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</si>
  <si>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</si>
  <si>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</si>
  <si>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</si>
  <si>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</si>
  <si>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</si>
  <si>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</si>
  <si>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</si>
  <si>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</si>
  <si>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</si>
  <si>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</si>
  <si>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</si>
  <si>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</si>
  <si>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</si>
  <si>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</si>
  <si>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</si>
  <si>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</si>
  <si>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</si>
  <si>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</si>
  <si>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</si>
  <si>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</si>
  <si>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</si>
  <si>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</si>
  <si>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</si>
  <si>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</si>
  <si>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</si>
  <si>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</si>
  <si>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</si>
  <si>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</si>
  <si>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</si>
  <si>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</si>
  <si>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</si>
  <si>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</si>
  <si>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</si>
  <si>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</si>
  <si>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</si>
  <si>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</si>
  <si>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</si>
  <si>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</si>
  <si>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</si>
  <si>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</si>
  <si>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</si>
  <si>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</si>
  <si>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</si>
  <si>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</si>
  <si>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</si>
  <si>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</si>
  <si>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</si>
  <si>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</si>
  <si>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</si>
  <si>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</si>
  <si>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</si>
  <si>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</si>
  <si>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</si>
  <si>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</si>
  <si>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</si>
  <si>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</si>
  <si>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</si>
  <si>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</si>
  <si>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</si>
  <si>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</si>
  <si>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</si>
  <si>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</si>
  <si>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</si>
  <si>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</si>
  <si>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</si>
  <si>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</si>
  <si>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</si>
  <si>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</si>
  <si>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</si>
  <si>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</si>
  <si>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</si>
  <si>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</si>
  <si>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</si>
  <si>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</si>
  <si>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</si>
  <si>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</si>
  <si>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</si>
  <si>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</si>
  <si>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</si>
  <si>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</si>
  <si>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</si>
  <si>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</si>
  <si>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</si>
  <si>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</si>
  <si>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</si>
  <si>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</si>
  <si>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</si>
  <si>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</si>
  <si>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</si>
  <si>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</si>
  <si>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</si>
  <si>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</si>
  <si>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</si>
  <si>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</si>
  <si>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</si>
  <si>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</si>
  <si>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</si>
  <si>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</si>
  <si>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</si>
  <si>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</si>
  <si>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</si>
  <si>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</si>
  <si>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</si>
  <si>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</si>
  <si>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</si>
  <si>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</si>
  <si>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</si>
  <si>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</si>
  <si>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</si>
  <si>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</si>
  <si>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</si>
  <si>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</si>
  <si>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</si>
  <si>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</si>
  <si>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</si>
  <si>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</si>
  <si>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</si>
  <si>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</si>
  <si>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</si>
  <si>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</si>
  <si>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</si>
  <si>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</si>
  <si>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</si>
  <si>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</si>
  <si>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</si>
  <si>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</si>
  <si>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</si>
  <si>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</si>
  <si>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</si>
  <si>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</si>
  <si>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</si>
  <si>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</si>
  <si>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</si>
  <si>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</si>
  <si>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</si>
  <si>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</si>
  <si>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</si>
  <si>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</si>
  <si>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</si>
  <si>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</si>
  <si>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</si>
  <si>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</si>
  <si>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</si>
  <si>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</si>
  <si>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</si>
  <si>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</si>
  <si>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</si>
  <si>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</si>
  <si>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</si>
  <si>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</si>
  <si>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</si>
  <si>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</si>
  <si>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</si>
  <si>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</si>
  <si>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</si>
  <si>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</si>
  <si>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</si>
  <si>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</si>
  <si>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</si>
  <si>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</si>
  <si>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</si>
  <si>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</si>
  <si>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</si>
  <si>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</si>
  <si>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</si>
  <si>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</si>
  <si>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</si>
  <si>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</si>
  <si>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</si>
  <si>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</si>
  <si>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</si>
  <si>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</si>
  <si>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</si>
  <si>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</si>
  <si>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</si>
  <si>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</si>
  <si>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</si>
  <si>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</si>
  <si>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</si>
  <si>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</si>
  <si>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</si>
  <si>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</si>
  <si>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</si>
  <si>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</si>
  <si>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</si>
  <si>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</si>
  <si>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</si>
  <si>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</si>
  <si>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</si>
  <si>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</si>
  <si>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</si>
  <si>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</si>
  <si>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</si>
  <si>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</si>
  <si>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</si>
  <si>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</si>
  <si>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</si>
  <si>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</si>
  <si>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</si>
  <si>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</si>
  <si>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</si>
  <si>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</si>
  <si>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</si>
  <si>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</si>
  <si>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</si>
  <si>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</si>
  <si>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</si>
  <si>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</si>
  <si>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</si>
  <si>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</si>
  <si>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</si>
  <si>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</si>
  <si>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</si>
  <si>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</si>
  <si>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</si>
  <si>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</si>
  <si>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</si>
  <si>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</si>
  <si>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</si>
  <si>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</si>
  <si>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</si>
  <si>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</si>
  <si>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</si>
  <si>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</si>
  <si>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</si>
  <si>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</si>
  <si>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</si>
  <si>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</si>
  <si>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</si>
  <si>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</si>
  <si>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</si>
  <si>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</si>
  <si>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</si>
  <si>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</si>
  <si>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</si>
  <si>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</si>
  <si>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</si>
  <si>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</si>
  <si>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</si>
  <si>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</si>
  <si>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</si>
  <si>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</si>
  <si>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</si>
  <si>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</si>
  <si>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</si>
  <si>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</si>
  <si>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</si>
  <si>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</si>
  <si>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</si>
  <si>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</si>
  <si>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</si>
  <si>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</si>
  <si>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</si>
  <si>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</si>
  <si>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</si>
  <si>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</si>
  <si>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</si>
  <si>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</si>
  <si>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</si>
  <si>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</si>
  <si>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</si>
  <si>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</si>
  <si>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</si>
  <si>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</si>
  <si>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</si>
  <si>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</si>
  <si>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</si>
  <si>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</si>
  <si>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</si>
  <si>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</si>
  <si>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</si>
  <si>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</si>
  <si>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</si>
  <si>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</si>
  <si>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</si>
  <si>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</si>
  <si>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</si>
  <si>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</si>
  <si>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</si>
  <si>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</si>
  <si>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</si>
  <si>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</si>
  <si>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</si>
  <si>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</si>
  <si>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</si>
  <si>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</si>
  <si>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</si>
  <si>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</si>
  <si>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</si>
  <si>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</si>
  <si>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</si>
  <si>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</si>
  <si>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</si>
  <si>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</si>
  <si>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</si>
  <si>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</si>
  <si>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</si>
  <si>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</si>
  <si>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</si>
  <si>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</si>
  <si>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</si>
  <si>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</si>
  <si>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</si>
  <si>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</si>
  <si>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</si>
  <si>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</si>
  <si>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</si>
  <si>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</si>
  <si>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</si>
  <si>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</si>
  <si>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</si>
  <si>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</si>
  <si>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</si>
  <si>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</si>
  <si>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</si>
  <si>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</si>
  <si>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</si>
  <si>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</si>
  <si>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</si>
  <si>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</si>
  <si>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</si>
  <si>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</si>
  <si>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</si>
  <si>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</si>
  <si>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</si>
  <si>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</si>
  <si>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</si>
  <si>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</si>
  <si>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</si>
  <si>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</si>
  <si>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</si>
  <si>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</si>
  <si>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</si>
  <si>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</si>
  <si>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</si>
  <si>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</si>
  <si>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</si>
  <si>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</si>
  <si>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</si>
  <si>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</si>
  <si>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</si>
  <si>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</si>
  <si>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</si>
  <si>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</si>
  <si>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</si>
  <si>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</si>
  <si>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</si>
  <si>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</si>
  <si>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</si>
  <si>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</si>
  <si>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</si>
  <si>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</si>
  <si>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</si>
  <si>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</si>
  <si>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</si>
  <si>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</si>
  <si>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</si>
  <si>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</si>
  <si>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</si>
  <si>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</si>
  <si>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</si>
  <si>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</si>
  <si>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</si>
  <si>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</si>
  <si>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</si>
  <si>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</si>
  <si>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</si>
  <si>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</si>
  <si>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</si>
  <si>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</si>
  <si>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</si>
  <si>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</si>
  <si>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</si>
  <si>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</si>
  <si>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</si>
  <si>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</si>
  <si>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</si>
  <si>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</si>
  <si>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</si>
  <si>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</si>
  <si>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</si>
  <si>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</si>
  <si>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</si>
  <si>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</si>
  <si>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</si>
  <si>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</si>
  <si>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</si>
  <si>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</si>
  <si>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</si>
  <si>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</si>
  <si>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</si>
  <si>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</si>
  <si>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</si>
  <si>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</si>
  <si>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</si>
  <si>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</si>
  <si>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</si>
  <si>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</si>
  <si>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</si>
  <si>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</si>
  <si>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</si>
  <si>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</si>
  <si>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</si>
  <si>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</si>
  <si>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</si>
  <si>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</si>
  <si>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</si>
  <si>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</si>
  <si>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</si>
  <si>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</si>
  <si>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</si>
  <si>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</si>
  <si>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</si>
  <si>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</si>
  <si>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</si>
  <si>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</si>
  <si>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</si>
  <si>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</si>
  <si>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</si>
  <si>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</si>
  <si>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</si>
  <si>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</si>
  <si>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</si>
  <si>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</si>
  <si>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</si>
  <si>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</si>
  <si>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</si>
  <si>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</si>
  <si>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</si>
  <si>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</si>
  <si>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</si>
  <si>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</si>
  <si>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</si>
  <si>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</si>
  <si>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</si>
  <si>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</si>
  <si>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</si>
  <si>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</si>
  <si>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</si>
  <si>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</si>
  <si>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</si>
  <si>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</si>
  <si>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</si>
  <si>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</si>
  <si>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</si>
  <si>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</si>
  <si>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</si>
  <si>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</si>
  <si>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</si>
  <si>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</si>
  <si>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</si>
  <si>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</si>
  <si>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</si>
  <si>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</si>
  <si>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</si>
  <si>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</si>
  <si>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</si>
  <si>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</si>
  <si>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</si>
  <si>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</si>
  <si>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</si>
  <si>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</si>
  <si>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</si>
  <si>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</si>
  <si>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</si>
  <si>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</si>
  <si>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</si>
  <si>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</si>
  <si>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</si>
  <si>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</si>
  <si>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</si>
  <si>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</si>
  <si>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</si>
  <si>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</si>
  <si>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</si>
  <si>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</si>
  <si>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</si>
  <si>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</si>
  <si>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</si>
  <si>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</si>
  <si>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</si>
  <si>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</si>
  <si>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</si>
  <si>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</si>
  <si>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</si>
  <si>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</si>
  <si>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</si>
  <si>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</si>
  <si>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</si>
  <si>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</si>
  <si>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</si>
  <si>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</si>
  <si>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</si>
  <si>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</si>
  <si>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</si>
  <si>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</si>
  <si>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</si>
  <si>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</si>
  <si>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</si>
  <si>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</si>
  <si>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</si>
  <si>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</si>
  <si>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</si>
  <si>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</si>
  <si>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</si>
  <si>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</si>
  <si>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</si>
  <si>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</si>
  <si>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</si>
  <si>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</si>
  <si>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</si>
  <si>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</si>
  <si>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</si>
  <si>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</si>
  <si>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</si>
  <si>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</si>
  <si>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</si>
  <si>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</si>
  <si>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</si>
  <si>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</si>
  <si>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</si>
  <si>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</si>
  <si>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</si>
  <si>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</si>
  <si>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</si>
  <si>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</si>
  <si>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</si>
  <si>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</si>
  <si>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</si>
  <si>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</si>
  <si>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</si>
  <si>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</si>
  <si>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</si>
  <si>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</si>
  <si>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</si>
  <si>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</si>
  <si>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</si>
  <si>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</si>
  <si>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</si>
  <si>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</si>
  <si>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</si>
  <si>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</si>
  <si>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</si>
  <si>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</si>
  <si>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</si>
  <si>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</si>
  <si>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</si>
  <si>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</si>
  <si>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</si>
  <si>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</si>
  <si>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</si>
  <si>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</si>
  <si>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</si>
  <si>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</si>
  <si>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</si>
  <si>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</si>
  <si>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</si>
  <si>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</si>
  <si>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</si>
  <si>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</si>
  <si>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</si>
  <si>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</si>
  <si>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</si>
  <si>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</si>
  <si>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</si>
  <si>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</si>
  <si>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</si>
  <si>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</si>
  <si>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</si>
  <si>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</si>
  <si>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</si>
  <si>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</si>
  <si>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</si>
  <si>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</si>
  <si>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</si>
  <si>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</si>
  <si>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</si>
  <si>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</si>
  <si>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</si>
  <si>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</si>
  <si>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</si>
  <si>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</si>
  <si>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</si>
  <si>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</si>
  <si>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</si>
  <si>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</si>
  <si>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</si>
  <si>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</si>
  <si>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</si>
  <si>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</si>
  <si>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</si>
  <si>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</si>
  <si>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</si>
  <si>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</si>
  <si>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</si>
  <si>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</si>
  <si>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</si>
  <si>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</si>
  <si>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</si>
  <si>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</si>
  <si>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</si>
  <si>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</si>
  <si>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</si>
  <si>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</si>
  <si>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</si>
  <si>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</si>
  <si>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</si>
  <si>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</si>
  <si>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</si>
  <si>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</si>
  <si>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</si>
  <si>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</si>
  <si>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</si>
  <si>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</si>
  <si>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</si>
  <si>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</si>
  <si>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</si>
  <si>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</si>
  <si>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</si>
  <si>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</si>
  <si>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</si>
  <si>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</si>
  <si>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</si>
  <si>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</si>
  <si>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</si>
  <si>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</si>
  <si>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</si>
  <si>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</si>
  <si>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</si>
  <si>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</si>
  <si>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</si>
  <si>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</si>
  <si>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</si>
  <si>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</si>
  <si>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</si>
  <si>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</si>
  <si>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</si>
  <si>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</si>
  <si>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</si>
  <si>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</si>
  <si>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</si>
  <si>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</si>
  <si>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</si>
  <si>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</si>
  <si>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</si>
  <si>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</si>
  <si>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</si>
  <si>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</si>
  <si>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</si>
  <si>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</si>
  <si>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</si>
  <si>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</si>
  <si>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</si>
  <si>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</si>
  <si>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</si>
  <si>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</si>
  <si>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</si>
  <si>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</si>
  <si>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</si>
  <si>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</si>
  <si>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</si>
  <si>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</si>
  <si>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</si>
  <si>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</si>
  <si>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</si>
  <si>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</si>
  <si>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</si>
  <si>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</si>
  <si>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</si>
  <si>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</si>
  <si>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</si>
  <si>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</si>
  <si>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</si>
  <si>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</si>
  <si>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</si>
  <si>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</si>
  <si>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</si>
  <si>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</si>
  <si>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</si>
  <si>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</si>
  <si>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</si>
  <si>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</si>
  <si>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</si>
  <si>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</si>
  <si>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</si>
  <si>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</si>
  <si>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</si>
  <si>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</si>
  <si>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</si>
  <si>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</si>
  <si>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</si>
  <si>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</si>
  <si>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</si>
  <si>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</si>
  <si>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</si>
  <si>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</si>
  <si>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</si>
  <si>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</si>
  <si>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</si>
  <si>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</si>
  <si>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</si>
  <si>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</si>
  <si>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</si>
  <si>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</si>
  <si>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</si>
  <si>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</si>
  <si>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</si>
  <si>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</si>
  <si>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</si>
  <si>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</si>
  <si>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</si>
  <si>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</si>
  <si>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</si>
  <si>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</si>
  <si>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</si>
  <si>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</si>
  <si>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</si>
  <si>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</si>
  <si>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</si>
  <si>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</si>
  <si>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</si>
  <si>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</si>
  <si>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</si>
  <si>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</si>
  <si>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</si>
  <si>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</si>
  <si>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</si>
  <si>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</si>
  <si>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</si>
  <si>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</si>
  <si>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</si>
  <si>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</si>
  <si>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</si>
  <si>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</si>
  <si>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</si>
  <si>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</si>
  <si>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</si>
  <si>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</si>
  <si>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</si>
  <si>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</si>
  <si>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</si>
  <si>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</si>
  <si>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</si>
  <si>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</si>
  <si>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</si>
  <si>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</si>
  <si>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</si>
  <si>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</si>
  <si>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</si>
  <si>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</si>
  <si>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</si>
  <si>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</si>
  <si>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</si>
  <si>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</si>
  <si>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</si>
  <si>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</si>
  <si>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</si>
  <si>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</si>
  <si>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</si>
  <si>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</si>
  <si>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</si>
  <si>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</si>
  <si>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</si>
  <si>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</si>
  <si>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</si>
  <si>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</si>
  <si>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</si>
  <si>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</si>
  <si>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</si>
  <si>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</si>
  <si>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</si>
  <si>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</si>
  <si>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</si>
  <si>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</si>
  <si>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</si>
  <si>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</si>
  <si>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</si>
  <si>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</si>
  <si>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</si>
  <si>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</si>
  <si>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</si>
  <si>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</si>
  <si>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</si>
  <si>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</si>
  <si>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</si>
  <si>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</si>
  <si>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</si>
  <si>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</si>
  <si>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</si>
  <si>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</si>
  <si>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</si>
  <si>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</si>
  <si>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</si>
  <si>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</si>
  <si>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</si>
  <si>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</si>
  <si>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</si>
  <si>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</si>
  <si>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</si>
  <si>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</si>
  <si>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</si>
  <si>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</si>
  <si>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</si>
  <si>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</si>
  <si>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</si>
  <si>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</si>
  <si>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</si>
  <si>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</si>
  <si>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</si>
  <si>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</si>
  <si>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</si>
  <si>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</si>
  <si>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</si>
  <si>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</si>
  <si>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</si>
  <si>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</si>
  <si>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</si>
  <si>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</si>
  <si>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</si>
  <si>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</si>
  <si>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</si>
  <si>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</si>
  <si>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</si>
  <si>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</si>
  <si>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</si>
  <si>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</si>
  <si>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</si>
  <si>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</si>
  <si>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</si>
  <si>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</si>
  <si>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</si>
  <si>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</si>
  <si>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</si>
  <si>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</si>
  <si>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</si>
  <si>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</si>
  <si>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</si>
  <si>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</si>
  <si>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</si>
  <si>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</si>
  <si>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</si>
  <si>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</si>
  <si>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</si>
  <si>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</si>
  <si>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</si>
  <si>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</si>
  <si>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</si>
  <si>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</si>
  <si>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</si>
  <si>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</si>
  <si>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</si>
  <si>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</si>
  <si>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</si>
  <si>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</si>
  <si>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</si>
  <si>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</si>
  <si>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</si>
  <si>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</si>
  <si>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</si>
  <si>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</si>
  <si>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</si>
  <si>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</si>
  <si>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</si>
  <si>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</si>
  <si>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</si>
  <si>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</si>
  <si>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</si>
  <si>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</si>
  <si>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</si>
  <si>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</si>
  <si>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</si>
  <si>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</si>
  <si>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</si>
  <si>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</si>
  <si>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</si>
  <si>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</si>
  <si>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</si>
  <si>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</si>
  <si>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</si>
  <si>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</si>
  <si>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</si>
  <si>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</si>
  <si>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</si>
  <si>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</si>
  <si>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</si>
  <si>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</si>
  <si>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</si>
  <si>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</si>
  <si>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</si>
  <si>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</si>
  <si>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</si>
  <si>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</si>
  <si>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</si>
  <si>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</si>
  <si>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</si>
  <si>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</si>
  <si>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</si>
  <si>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</si>
  <si>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</si>
  <si>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</si>
  <si>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</si>
  <si>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</si>
  <si>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</si>
  <si>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</si>
  <si>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</si>
  <si>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</si>
  <si>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</si>
  <si>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</si>
  <si>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</si>
  <si>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</si>
  <si>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</si>
  <si>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</si>
  <si>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</si>
  <si>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</si>
  <si>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</si>
  <si>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</si>
  <si>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</si>
  <si>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</si>
  <si>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</si>
  <si>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</si>
  <si>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</si>
  <si>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</si>
  <si>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</si>
  <si>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</si>
  <si>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</si>
  <si>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</si>
  <si>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</si>
  <si>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</si>
  <si>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</si>
  <si>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</si>
  <si>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</si>
  <si>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</si>
  <si>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</si>
  <si>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</si>
  <si>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</si>
  <si>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</si>
  <si>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</si>
  <si>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</si>
  <si>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</si>
  <si>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</si>
  <si>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</si>
  <si>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</si>
  <si>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</si>
  <si>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</si>
  <si>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</si>
  <si>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</si>
  <si>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</si>
  <si>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</si>
  <si>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</si>
  <si>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</si>
  <si>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</si>
  <si>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</si>
  <si>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</si>
  <si>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</si>
  <si>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</si>
  <si>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</si>
  <si>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</si>
  <si>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</si>
  <si>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</si>
  <si>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</si>
  <si>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</si>
  <si>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</si>
  <si>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</si>
  <si>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</si>
  <si>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</si>
  <si>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</si>
  <si>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</si>
  <si>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</si>
  <si>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</si>
  <si>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</si>
  <si>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</si>
  <si>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</si>
  <si>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</si>
  <si>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</si>
  <si>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</si>
  <si>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</si>
  <si>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</si>
  <si>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</si>
  <si>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</si>
  <si>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</si>
  <si>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</si>
  <si>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</si>
  <si>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</si>
  <si>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</si>
  <si>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</si>
  <si>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</si>
  <si>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</si>
  <si>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</si>
  <si>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</si>
  <si>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</si>
  <si>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</si>
  <si>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</si>
  <si>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</si>
  <si>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</si>
  <si>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</si>
  <si>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</si>
  <si>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</si>
  <si>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</si>
  <si>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</si>
  <si>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</si>
  <si>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</si>
  <si>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</si>
  <si>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三重重新店</t>
    <phoneticPr fontId="29" type="noConversion"/>
  </si>
  <si>
    <t>PMQ2檢核</t>
    <phoneticPr fontId="29" type="noConversion"/>
  </si>
  <si>
    <t>EDC檢核</t>
    <phoneticPr fontId="29" type="noConversion"/>
  </si>
  <si>
    <t>發票機檢核</t>
    <phoneticPr fontId="29" type="noConversion"/>
  </si>
  <si>
    <t>發票機更換日期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</si>
</sst>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8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66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zoomScale="90" zoomScaleNormal="90" workbookViewId="0">
      <pane ySplit="14" topLeftCell="A15" activePane="bottomLeft" state="frozen"/>
      <selection activeCell="Z18" sqref="Z18"/>
      <selection pane="bottomLeft" activeCell="U12" sqref="U12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60">
        <v>45748</v>
      </c>
      <c r="B1" s="143" t="s">
        <v>5063</v>
      </c>
      <c r="C1" s="252" t="s">
        <v>5064</v>
      </c>
      <c r="D1" s="252" t="s">
        <v>4456</v>
      </c>
      <c r="E1" s="338" t="s">
        <v>5055</v>
      </c>
      <c r="F1" s="327" t="s">
        <v>5133</v>
      </c>
      <c r="G1" s="326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5062</v>
      </c>
      <c r="B3" s="263">
        <f t="shared" ref="B3:B9" si="0">SUM(C3:O3)</f>
        <v>210</v>
      </c>
      <c r="C3" s="270">
        <f>COUNTIF($D$15:$D$303,C2)</f>
        <v>1</v>
      </c>
      <c r="D3" s="271">
        <f t="shared" ref="D3:O3" si="1">COUNTIF($D$15:$D$303,D2)</f>
        <v>3</v>
      </c>
      <c r="E3" s="271">
        <f t="shared" si="1"/>
        <v>17</v>
      </c>
      <c r="F3" s="271">
        <f t="shared" si="1"/>
        <v>2</v>
      </c>
      <c r="G3" s="271">
        <f t="shared" si="1"/>
        <v>13</v>
      </c>
      <c r="H3" s="271">
        <f t="shared" si="1"/>
        <v>8</v>
      </c>
      <c r="I3" s="271">
        <f t="shared" si="1"/>
        <v>12</v>
      </c>
      <c r="J3" s="271">
        <f t="shared" si="1"/>
        <v>0</v>
      </c>
      <c r="K3" s="271">
        <f t="shared" si="1"/>
        <v>15</v>
      </c>
      <c r="L3" s="271">
        <f t="shared" si="1"/>
        <v>71</v>
      </c>
      <c r="M3" s="271">
        <f t="shared" si="1"/>
        <v>30</v>
      </c>
      <c r="N3" s="271">
        <f t="shared" si="1"/>
        <v>3</v>
      </c>
      <c r="O3" s="272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62" t="s">
        <v>4452</v>
      </c>
      <c r="B4" s="263">
        <f>SUM(C4:O4)</f>
        <v>161</v>
      </c>
      <c r="C4" s="323">
        <f t="shared" ref="C4:O4" si="2">COUNTIFS($D$15:$D$303,C2,$Y$15:$Y$303,"STAR")</f>
        <v>1</v>
      </c>
      <c r="D4" s="324">
        <f t="shared" si="2"/>
        <v>1</v>
      </c>
      <c r="E4" s="324">
        <f t="shared" si="2"/>
        <v>11</v>
      </c>
      <c r="F4" s="324">
        <f t="shared" si="2"/>
        <v>1</v>
      </c>
      <c r="G4" s="324">
        <f t="shared" si="2"/>
        <v>8</v>
      </c>
      <c r="H4" s="324">
        <f t="shared" si="2"/>
        <v>5</v>
      </c>
      <c r="I4" s="324">
        <f t="shared" si="2"/>
        <v>11</v>
      </c>
      <c r="J4" s="324">
        <f t="shared" si="2"/>
        <v>0</v>
      </c>
      <c r="K4" s="324">
        <f t="shared" si="2"/>
        <v>11</v>
      </c>
      <c r="L4" s="324">
        <f t="shared" si="2"/>
        <v>63</v>
      </c>
      <c r="M4" s="324">
        <f t="shared" si="2"/>
        <v>21</v>
      </c>
      <c r="N4" s="324">
        <f t="shared" si="2"/>
        <v>2</v>
      </c>
      <c r="O4" s="325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5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9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6" t="s">
        <v>4158</v>
      </c>
      <c r="B6" s="164">
        <f t="shared" si="0"/>
        <v>0</v>
      </c>
      <c r="C6" s="320">
        <f>COUNTIFS($D$15:$D$300,C2,$F$15:$F$300,"新開")</f>
        <v>0</v>
      </c>
      <c r="D6" s="321">
        <f t="shared" ref="D6:O6" si="4">COUNTIFS($D$15:$D$300,D2,$F$15:$F$300,"新開")</f>
        <v>0</v>
      </c>
      <c r="E6" s="321">
        <f t="shared" si="4"/>
        <v>0</v>
      </c>
      <c r="F6" s="321">
        <f t="shared" si="4"/>
        <v>0</v>
      </c>
      <c r="G6" s="321">
        <f t="shared" si="4"/>
        <v>0</v>
      </c>
      <c r="H6" s="321">
        <f t="shared" si="4"/>
        <v>0</v>
      </c>
      <c r="I6" s="321">
        <f t="shared" si="4"/>
        <v>0</v>
      </c>
      <c r="J6" s="321">
        <f t="shared" si="4"/>
        <v>0</v>
      </c>
      <c r="K6" s="321">
        <f t="shared" si="4"/>
        <v>0</v>
      </c>
      <c r="L6" s="321">
        <f t="shared" si="4"/>
        <v>0</v>
      </c>
      <c r="M6" s="321">
        <f t="shared" si="4"/>
        <v>0</v>
      </c>
      <c r="N6" s="321">
        <f t="shared" si="4"/>
        <v>0</v>
      </c>
      <c r="O6" s="322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7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9" t="s">
        <v>5060</v>
      </c>
      <c r="B8" s="280">
        <f t="shared" si="0"/>
        <v>12</v>
      </c>
      <c r="C8" s="273">
        <f>COUNTIFS($D$15:$D$303,C2,$I$15:$I$303, "&gt;="&amp;A1, $I$15:$I$303, "&lt;="&amp;B1)</f>
        <v>0</v>
      </c>
      <c r="D8" s="274">
        <f>COUNTIFS($D$15:$D$303,D2,$I$15:$I$303, "&gt;="&amp;A1, $I$15:$I$303,"&lt;="&amp;B1)</f>
        <v>0</v>
      </c>
      <c r="E8" s="274">
        <f>COUNTIFS($D$15:$D$303,E2,$I$15:$I$303, "&gt;="&amp;A1, $I$15:$I$303,"&lt;="&amp;B1)</f>
        <v>0</v>
      </c>
      <c r="F8" s="274">
        <f>COUNTIFS($D$15:$D$303,F2,$I$15:$I$303, "&gt;="&amp;A1, $I$15:$I$303,"&lt;="&amp;B1)</f>
        <v>0</v>
      </c>
      <c r="G8" s="274">
        <f>COUNTIFS($D$15:$D$303,G2,$I$15:$I$303, "&gt;="&amp;A1, $I$15:$I$303,"&lt;="&amp;B1)</f>
        <v>0</v>
      </c>
      <c r="H8" s="274">
        <f>COUNTIFS($D$15:$D$303,H2,$I$15:$I$303, "&gt;="&amp;A1, $I$15:$I$303,"&lt;="&amp;B1)</f>
        <v>0</v>
      </c>
      <c r="I8" s="274">
        <f>COUNTIFS($D$15:$D$303,I2,$I$15:$I$303, "&gt;="&amp;A1, $I$15:$I$303,"&lt;="&amp;B1)</f>
        <v>0</v>
      </c>
      <c r="J8" s="274">
        <f>COUNTIFS($D$15:$D$303,J2,$I$15:$I$303, "&gt;="&amp;A1, $I$15:$I$303,"&lt;="&amp;B1)</f>
        <v>0</v>
      </c>
      <c r="K8" s="274">
        <f>COUNTIFS($D$15:$D$303,K2,$I$15:$I$303, "&gt;="&amp;A1, $I$15:$I$303,"&lt;="&amp;B1)</f>
        <v>0</v>
      </c>
      <c r="L8" s="274">
        <f>COUNTIFS($D$15:$D$303,L2,$I$15:$I$303, "&gt;="&amp;A1, $I$15:$I$303,"&lt;="&amp;B1)</f>
        <v>7</v>
      </c>
      <c r="M8" s="274">
        <f>COUNTIFS($D$15:$D$303,M2,$I$15:$I$303, "&gt;="&amp;A1, $I$15:$I$303,"&lt;="&amp;B1)</f>
        <v>1</v>
      </c>
      <c r="N8" s="274">
        <f>COUNTIFS($D$15:$D$303,N2,$I$15:$I$303, "&gt;="&amp;A1, $I$15:$I$303,"&lt;="&amp;B1)</f>
        <v>0</v>
      </c>
      <c r="O8" s="275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81" t="s">
        <v>4160</v>
      </c>
      <c r="B9" s="282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4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73">
        <f>COUNTIFS($D$15:$D$300,C2,$N$15:$N$300,$D$1)</f>
        <v>0</v>
      </c>
      <c r="D10" s="274">
        <f t="shared" ref="D10:O10" si="9">COUNTIFS($D$15:$D$300,D2,$N$15:$N$300,$D$1)</f>
        <v>0</v>
      </c>
      <c r="E10" s="274">
        <f t="shared" si="9"/>
        <v>0</v>
      </c>
      <c r="F10" s="274">
        <f t="shared" si="9"/>
        <v>0</v>
      </c>
      <c r="G10" s="274">
        <f t="shared" si="9"/>
        <v>0</v>
      </c>
      <c r="H10" s="274">
        <f t="shared" si="9"/>
        <v>0</v>
      </c>
      <c r="I10" s="274">
        <f t="shared" si="9"/>
        <v>1</v>
      </c>
      <c r="J10" s="274">
        <f t="shared" si="9"/>
        <v>0</v>
      </c>
      <c r="K10" s="274">
        <f t="shared" si="9"/>
        <v>0</v>
      </c>
      <c r="L10" s="274">
        <f t="shared" si="9"/>
        <v>8</v>
      </c>
      <c r="M10" s="274">
        <f t="shared" si="9"/>
        <v>0</v>
      </c>
      <c r="N10" s="274">
        <f t="shared" si="9"/>
        <v>0</v>
      </c>
      <c r="O10" s="275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6">
        <f>C4-C10</f>
        <v>1</v>
      </c>
      <c r="D11" s="277">
        <f t="shared" ref="D11:O11" si="11">D4-D10</f>
        <v>1</v>
      </c>
      <c r="E11" s="277">
        <f t="shared" si="11"/>
        <v>11</v>
      </c>
      <c r="F11" s="277">
        <f t="shared" si="11"/>
        <v>1</v>
      </c>
      <c r="G11" s="277">
        <f t="shared" si="11"/>
        <v>8</v>
      </c>
      <c r="H11" s="277">
        <f t="shared" si="11"/>
        <v>5</v>
      </c>
      <c r="I11" s="277">
        <f t="shared" si="11"/>
        <v>10</v>
      </c>
      <c r="J11" s="277">
        <f t="shared" si="11"/>
        <v>0</v>
      </c>
      <c r="K11" s="277">
        <f t="shared" si="11"/>
        <v>11</v>
      </c>
      <c r="L11" s="277">
        <f t="shared" si="11"/>
        <v>55</v>
      </c>
      <c r="M11" s="277">
        <f t="shared" si="11"/>
        <v>21</v>
      </c>
      <c r="N11" s="277">
        <f t="shared" si="11"/>
        <v>2</v>
      </c>
      <c r="O11" s="278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5061</v>
      </c>
      <c r="B12" s="348">
        <f t="shared" ref="B12" si="12">B8/B3</f>
        <v>5.7142857142857141E-2</v>
      </c>
      <c r="C12" s="345">
        <f t="shared" ref="C12:K12" si="13">C8/(C3-C6)</f>
        <v>0</v>
      </c>
      <c r="D12" s="346">
        <f t="shared" si="13"/>
        <v>0</v>
      </c>
      <c r="E12" s="346">
        <f t="shared" si="13"/>
        <v>0</v>
      </c>
      <c r="F12" s="346">
        <f t="shared" si="13"/>
        <v>0</v>
      </c>
      <c r="G12" s="346">
        <f t="shared" si="13"/>
        <v>0</v>
      </c>
      <c r="H12" s="346">
        <f t="shared" si="13"/>
        <v>0</v>
      </c>
      <c r="I12" s="346">
        <f t="shared" si="13"/>
        <v>0</v>
      </c>
      <c r="J12" s="346" t="e">
        <f t="shared" si="13"/>
        <v>#DIV/0!</v>
      </c>
      <c r="K12" s="346">
        <f t="shared" si="13"/>
        <v>0</v>
      </c>
      <c r="L12" s="346">
        <f>L8/(L3-L6)</f>
        <v>9.8591549295774641E-2</v>
      </c>
      <c r="M12" s="346">
        <f t="shared" ref="M12:O12" si="14">M8/(M3-M6)</f>
        <v>3.3333333333333333E-2</v>
      </c>
      <c r="N12" s="346">
        <f t="shared" si="14"/>
        <v>0</v>
      </c>
      <c r="O12" s="347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8">
        <f>B10/B4</f>
        <v>8.0745341614906832E-2</v>
      </c>
      <c r="C13" s="283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180" t="s">
        <v>5151</v>
      </c>
      <c r="J14" s="181" t="s">
        <v>1733</v>
      </c>
      <c r="K14" s="182" t="s">
        <v>1748</v>
      </c>
      <c r="L14" s="180" t="s">
        <v>4051</v>
      </c>
      <c r="M14" s="180" t="s">
        <v>5152</v>
      </c>
      <c r="N14" s="180" t="s">
        <v>5153</v>
      </c>
      <c r="O14" s="180" t="s">
        <v>5154</v>
      </c>
      <c r="P14" s="180" t="s">
        <v>4063</v>
      </c>
      <c r="Q14" s="180"/>
      <c r="R14" s="180"/>
      <c r="S14" s="180"/>
      <c r="T14" s="180"/>
      <c r="U14" s="183" t="s">
        <v>4449</v>
      </c>
      <c r="V14" s="183" t="s">
        <v>1733</v>
      </c>
      <c r="W14" s="309" t="s">
        <v>4165</v>
      </c>
      <c r="X14" s="309" t="s">
        <v>4166</v>
      </c>
      <c r="Y14" s="328" t="s">
        <v>5051</v>
      </c>
      <c r="Z14" s="3">
        <f>COUNTIF(Y:Y,"STAR")</f>
        <v>161</v>
      </c>
    </row>
    <row r="15" spans="1:26" ht="15.75" customHeight="1">
      <c r="A15" s="184" t="s">
        <v>36</v>
      </c>
      <c r="B15" s="185" t="s">
        <v>5150</v>
      </c>
      <c r="C15" s="186" t="str">
        <f>VLOOKUP($A15,'0919門市清單主檔'!B:V,20,FALSE)</f>
        <v>新北市</v>
      </c>
      <c r="D15" s="187" t="str">
        <f>VLOOKUP($A15,'0919門市清單主檔'!B:V,21,FALSE)</f>
        <v>三重區</v>
      </c>
      <c r="E15" s="188" t="str">
        <f>VLOOKUP(D15,區域表!A:B,2,FALSE)</f>
        <v>吳宗鴻</v>
      </c>
      <c r="F15" s="189" t="str">
        <f>IFERROR(IF(VLOOKUP(A15,門市狀態!A:D,4,FALSE)=0,"",VLOOKUP(A15,門市狀態!A:D,4,FALSE)),"")</f>
        <v/>
      </c>
      <c r="G15" s="190" t="s">
        <v>1749</v>
      </c>
      <c r="H15" s="191" t="str">
        <f t="shared" ref="H15:H78" si="16">IF(I15&gt;0,(TEXT(I15,"yyyymmdd")&amp;$T$3&amp;A15&amp;$T$3&amp;B15&amp;$R$3),"")</f>
        <v>20250401-D070-三重重新店(定保)</v>
      </c>
      <c r="I15" s="192">
        <v>45748.488888888889</v>
      </c>
      <c r="J15" s="193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4" t="str" cm="1">
        <f t="array" ref="L15">IF(K15&gt;0,IFERROR(HYPERLINK("#'IM'!AC"&amp;MATCH(1,(IM!$F$1:$F$7702=A15)*(ISNUMBER(SEARCH("PMQ2",IM!$AC$1:$AC$7702))),0),"檢核"),"未登錄"),"")</f>
        <v>檢核</v>
      </c>
      <c r="M15" s="267" t="str" cm="1">
        <f t="array" ref="M15">IF(AND(SUMPRODUCT((IM!F2:F674=A15)*(ISNUMBER(SEARCH("EDC", IM!AC2:AC674))))&gt;0), "EDC", "")</f>
        <v>EDC</v>
      </c>
      <c r="N15" s="310" t="str" cm="1">
        <f t="array" ref="N15">IF(AND(SUMPRODUCT((IM!F2:F674=A15)*(ISNUMBER(SEARCH("STAR", IM!AC2:AC674))))&gt;0), "STAR", "")</f>
        <v>STAR</v>
      </c>
      <c r="O15" s="301" cm="1">
        <f t="array" ref="O15">IFERROR(INDEX(IM!$X$2:$X$652, MATCH(1, (IM!$F$2:$F$652=A15) * (ISNUMBER(SEARCH($D$1, IM!$AC$2:$AC$652))), 0)), "")</f>
        <v>45748.488888888889</v>
      </c>
      <c r="P15" s="194" t="str">
        <f t="shared" ref="P15:P78" si="17">(TEXT(I15,"yyyymmdd"))&amp;$T$3&amp;A15&amp;$T$3&amp;B15&amp;$R$3</f>
        <v>20250401-D070-三重重新店(定保)</v>
      </c>
      <c r="Q15" s="144"/>
      <c r="R15" s="144"/>
      <c r="S15" s="144"/>
      <c r="T15" s="144"/>
      <c r="U15" s="305">
        <f t="shared" ref="U15:U78" si="18">IF(AND(W15&lt;&gt;"", X15&lt;&gt;""), 2, IF(OR(W15&lt;&gt;"", X15&lt;&gt;""), 1, 0))</f>
        <v>2</v>
      </c>
      <c r="V15" s="289" t="str">
        <f t="shared" ref="V15:V78" si="19">IF(I15="", "未到店",
   IF(M15&lt;&gt;"EDC", "異常",
      IF(OR(AND(Y15="STAR", N15="STAR"), AND(Y15&lt;&gt;"STAR", N15="")), "已完工", "異常")
   )
)</f>
        <v>已完工</v>
      </c>
      <c r="W15" s="307" t="s">
        <v>4200</v>
      </c>
      <c r="X15" s="308" t="s">
        <v>4201</v>
      </c>
      <c r="Y15" s="5" t="str">
        <f t="shared" ref="Y15:Y46" si="20">IF(U15&gt;0,"STAR","")</f>
        <v>STAR</v>
      </c>
    </row>
    <row r="16" spans="1:26" ht="15.75" customHeight="1">
      <c r="A16" s="184">
        <v>3818</v>
      </c>
      <c r="B16" s="185" t="s">
        <v>1420</v>
      </c>
      <c r="C16" s="186" t="str">
        <f>VLOOKUP($A16,'0919門市清單主檔'!B:V,20,FALSE)</f>
        <v>新北市</v>
      </c>
      <c r="D16" s="187" t="str">
        <f>VLOOKUP($A16,'0919門市清單主檔'!B:V,21,FALSE)</f>
        <v>板橋區</v>
      </c>
      <c r="E16" s="188" t="str">
        <f>VLOOKUP(D16,區域表!A:B,2,FALSE)</f>
        <v>狄澤洋</v>
      </c>
      <c r="F16" s="189" t="str">
        <f>IFERROR(IF(VLOOKUP(A16,門市狀態!A:D,4,FALSE)=0,"",VLOOKUP(A16,門市狀態!A:D,4,FALSE)),"")</f>
        <v/>
      </c>
      <c r="G16" s="190" t="s">
        <v>1749</v>
      </c>
      <c r="H16" s="191" t="str">
        <f t="shared" si="16"/>
        <v>20250401-3818-板橋漢江店(定保)</v>
      </c>
      <c r="I16" s="195">
        <v>45748.568749999999</v>
      </c>
      <c r="J16" s="193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5" t="str" cm="1">
        <f t="array" ref="L16">IF(K16&gt;0,IFERROR(HYPERLINK("#'IM'!AC"&amp;MATCH(1,(IM!$F$1:$F$7702=A16)*(ISNUMBER(SEARCH("PMQ2",IM!$AC$1:$AC$7702))),0),"檢核"),"未登錄"),"")</f>
        <v>檢核</v>
      </c>
      <c r="M16" s="268" t="str" cm="1">
        <f t="array" ref="M16">IF(AND(SUMPRODUCT((IM!F2:F695=A16)*(ISNUMBER(SEARCH("EDC", IM!AC2:AC695))))&gt;0), "EDC", "")</f>
        <v>EDC</v>
      </c>
      <c r="N16" s="311" t="str" cm="1">
        <f t="array" ref="N16">IF(AND(SUMPRODUCT((IM!F2:F695=A16)*(ISNUMBER(SEARCH("STAR", IM!AC2:AC695))))&gt;0), "STAR", "")</f>
        <v>STAR</v>
      </c>
      <c r="O16" s="302" cm="1">
        <f t="array" ref="O16">IFERROR(INDEX(IM!$X$2:$X$652, MATCH(1, (IM!$F$2:$F$652=A16) * (ISNUMBER(SEARCH($D$1, IM!$AC$2:$AC$652))), 0)), "")</f>
        <v>45748.568749999999</v>
      </c>
      <c r="P16" s="196" t="str">
        <f t="shared" si="17"/>
        <v>20250401-3818-板橋漢江店(定保)</v>
      </c>
      <c r="Q16" s="144"/>
      <c r="R16" s="144"/>
      <c r="S16" s="144"/>
      <c r="T16" s="144"/>
      <c r="U16" s="305">
        <f t="shared" si="18"/>
        <v>1</v>
      </c>
      <c r="V16" s="289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4">
        <v>3147</v>
      </c>
      <c r="B17" s="185" t="s">
        <v>166</v>
      </c>
      <c r="C17" s="186" t="str">
        <f>VLOOKUP($A17,'0919門市清單主檔'!B:V,20,FALSE)</f>
        <v>新北市</v>
      </c>
      <c r="D17" s="187" t="str">
        <f>VLOOKUP($A17,'0919門市清單主檔'!B:V,21,FALSE)</f>
        <v>板橋區</v>
      </c>
      <c r="E17" s="188" t="str">
        <f>VLOOKUP(D17,區域表!A:B,2,FALSE)</f>
        <v>狄澤洋</v>
      </c>
      <c r="F17" s="189" t="str">
        <f>IFERROR(IF(VLOOKUP(A17,門市狀態!A:D,4,FALSE)=0,"",VLOOKUP(A17,門市狀態!A:D,4,FALSE)),"")</f>
        <v/>
      </c>
      <c r="G17" s="190" t="s">
        <v>1749</v>
      </c>
      <c r="H17" s="191" t="str">
        <f t="shared" si="16"/>
        <v>20250401-3147-北縣板明店(定保)</v>
      </c>
      <c r="I17" s="195">
        <v>45748.603472222225</v>
      </c>
      <c r="J17" s="193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5" t="str" cm="1">
        <f t="array" ref="L17">IF(K17&gt;0,IFERROR(HYPERLINK("#'IM'!AC"&amp;MATCH(1,(IM!$F$1:$F$7702=A17)*(ISNUMBER(SEARCH("PMQ2",IM!$AC$1:$AC$7702))),0),"檢核"),"未登錄"),"")</f>
        <v>檢核</v>
      </c>
      <c r="M17" s="268" t="str" cm="1">
        <f t="array" ref="M17">IF(AND(SUMPRODUCT((IM!F2:F731=A17)*(ISNUMBER(SEARCH("EDC", IM!AC2:AC731))))&gt;0), "EDC", "")</f>
        <v>EDC</v>
      </c>
      <c r="N17" s="311" t="str" cm="1">
        <f t="array" ref="N17">IF(AND(SUMPRODUCT((IM!F2:F731=A17)*(ISNUMBER(SEARCH("STAR", IM!AC2:AC731))))&gt;0), "STAR", "")</f>
        <v>STAR</v>
      </c>
      <c r="O17" s="302" cm="1">
        <f t="array" ref="O17">IFERROR(INDEX(IM!$X$2:$X$652, MATCH(1, (IM!$F$2:$F$652=A17) * (ISNUMBER(SEARCH($D$1, IM!$AC$2:$AC$652))), 0)), "")</f>
        <v>45748.603472222225</v>
      </c>
      <c r="P17" s="196" t="str">
        <f t="shared" si="17"/>
        <v>20250401-3147-北縣板明店(定保)</v>
      </c>
      <c r="Q17" s="144"/>
      <c r="R17" s="144"/>
      <c r="S17" s="144"/>
      <c r="T17" s="144"/>
      <c r="U17" s="305">
        <f t="shared" si="18"/>
        <v>1</v>
      </c>
      <c r="V17" s="289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4">
        <v>4241</v>
      </c>
      <c r="B18" s="185" t="s">
        <v>1497</v>
      </c>
      <c r="C18" s="186" t="str">
        <f>VLOOKUP($A18,'0919門市清單主檔'!B:V,20,FALSE)</f>
        <v>新北市</v>
      </c>
      <c r="D18" s="187" t="str">
        <f>VLOOKUP($A18,'0919門市清單主檔'!B:V,21,FALSE)</f>
        <v>三重區</v>
      </c>
      <c r="E18" s="188" t="str">
        <f>VLOOKUP(D18,區域表!A:B,2,FALSE)</f>
        <v>吳宗鴻</v>
      </c>
      <c r="F18" s="189" t="str">
        <f>IFERROR(IF(VLOOKUP(A18,門市狀態!A:D,4,FALSE)=0,"",VLOOKUP(A18,門市狀態!A:D,4,FALSE)),"")</f>
        <v/>
      </c>
      <c r="G18" s="190" t="s">
        <v>1749</v>
      </c>
      <c r="H18" s="191" t="str">
        <f t="shared" si="16"/>
        <v>20250401-4241-三重仁義店(定保)</v>
      </c>
      <c r="I18" s="195">
        <v>45748.661805555559</v>
      </c>
      <c r="J18" s="193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5" t="str" cm="1">
        <f t="array" ref="L18">IF(K18&gt;0,IFERROR(HYPERLINK("#'IM'!AC"&amp;MATCH(1,(IM!$F$1:$F$7702=A18)*(ISNUMBER(SEARCH("PMQ2",IM!$AC$1:$AC$7702))),0),"檢核"),"未登錄"),"")</f>
        <v>檢核</v>
      </c>
      <c r="M18" s="268" t="str" cm="1">
        <f t="array" ref="M18">IF(AND(SUMPRODUCT((IM!F2:F790=A18)*(ISNUMBER(SEARCH("EDC", IM!AC2:AC790))))&gt;0), "EDC", "")</f>
        <v>EDC</v>
      </c>
      <c r="N18" s="311" t="str" cm="1">
        <f t="array" ref="N18">IF(AND(SUMPRODUCT((IM!F2:F790=A18)*(ISNUMBER(SEARCH("STAR", IM!AC2:AC790))))&gt;0), "STAR", "")</f>
        <v>STAR</v>
      </c>
      <c r="O18" s="302" cm="1">
        <f t="array" ref="O18">IFERROR(INDEX(IM!$X$2:$X$652, MATCH(1, (IM!$F$2:$F$652=A18) * (ISNUMBER(SEARCH($D$1, IM!$AC$2:$AC$652))), 0)), "")</f>
        <v>45748.661805555559</v>
      </c>
      <c r="P18" s="196" t="str">
        <f t="shared" si="17"/>
        <v>20250401-4241-三重仁義店(定保)</v>
      </c>
      <c r="Q18" s="144"/>
      <c r="R18" s="144"/>
      <c r="S18" s="144"/>
      <c r="T18" s="144"/>
      <c r="U18" s="305">
        <f t="shared" si="18"/>
        <v>2</v>
      </c>
      <c r="V18" s="289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4">
        <v>3627</v>
      </c>
      <c r="B19" s="185" t="s">
        <v>213</v>
      </c>
      <c r="C19" s="186" t="str">
        <f>VLOOKUP($A19,'0919門市清單主檔'!B:V,20,FALSE)</f>
        <v>新北市</v>
      </c>
      <c r="D19" s="187" t="str">
        <f>VLOOKUP($A19,'0919門市清單主檔'!B:V,21,FALSE)</f>
        <v>三重區</v>
      </c>
      <c r="E19" s="188" t="str">
        <f>VLOOKUP(D19,區域表!A:B,2,FALSE)</f>
        <v>吳宗鴻</v>
      </c>
      <c r="F19" s="189" t="str">
        <f>IFERROR(IF(VLOOKUP(A19,門市狀態!A:D,4,FALSE)=0,"",VLOOKUP(A19,門市狀態!A:D,4,FALSE)),"")</f>
        <v/>
      </c>
      <c r="G19" s="190" t="s">
        <v>1749</v>
      </c>
      <c r="H19" s="191" t="str">
        <f t="shared" si="16"/>
        <v>20250402-3627-三重重新橋(定保)</v>
      </c>
      <c r="I19" s="195">
        <v>45749.465277777781</v>
      </c>
      <c r="J19" s="193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5" t="str" cm="1">
        <f t="array" ref="L19">IF(K19&gt;0,IFERROR(HYPERLINK("#'IM'!AC"&amp;MATCH(1,(IM!$F$1:$F$7702=A19)*(ISNUMBER(SEARCH("PMQ2",IM!$AC$1:$AC$7702))),0),"檢核"),"未登錄"),"")</f>
        <v>檢核</v>
      </c>
      <c r="M19" s="268" t="str" cm="1">
        <f t="array" ref="M19">IF(AND(SUMPRODUCT((IM!F2:F673=A19)*(ISNUMBER(SEARCH("EDC", IM!AC2:AC673))))&gt;0), "EDC", "")</f>
        <v>EDC</v>
      </c>
      <c r="N19" s="311" t="str" cm="1">
        <f t="array" ref="N19">IF(AND(SUMPRODUCT((IM!F2:F673=A19)*(ISNUMBER(SEARCH("STAR", IM!AC2:AC673))))&gt;0), "STAR", "")</f>
        <v>STAR</v>
      </c>
      <c r="O19" s="302" cm="1">
        <f t="array" ref="O19">IFERROR(INDEX(IM!$X$2:$X$652, MATCH(1, (IM!$F$2:$F$652=A19) * (ISNUMBER(SEARCH($D$1, IM!$AC$2:$AC$652))), 0)), "")</f>
        <v>45749.465277777781</v>
      </c>
      <c r="P19" s="196" t="str">
        <f t="shared" si="17"/>
        <v>20250402-3627-三重重新橋(定保)</v>
      </c>
      <c r="Q19" s="144"/>
      <c r="R19" s="144"/>
      <c r="S19" s="144"/>
      <c r="T19" s="144"/>
      <c r="U19" s="305">
        <f t="shared" si="18"/>
        <v>2</v>
      </c>
      <c r="V19" s="289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4">
        <v>4084</v>
      </c>
      <c r="B20" s="185" t="s">
        <v>309</v>
      </c>
      <c r="C20" s="186" t="str">
        <f>VLOOKUP($A20,'0919門市清單主檔'!B:V,20,FALSE)</f>
        <v>新北市</v>
      </c>
      <c r="D20" s="187" t="str">
        <f>VLOOKUP($A20,'0919門市清單主檔'!B:V,21,FALSE)</f>
        <v>三重區</v>
      </c>
      <c r="E20" s="188" t="str">
        <f>VLOOKUP(D20,區域表!A:B,2,FALSE)</f>
        <v>吳宗鴻</v>
      </c>
      <c r="F20" s="189" t="str">
        <f>IFERROR(IF(VLOOKUP(A20,門市狀態!A:D,4,FALSE)=0,"",VLOOKUP(A20,門市狀態!A:D,4,FALSE)),"")</f>
        <v/>
      </c>
      <c r="G20" s="190" t="s">
        <v>1749</v>
      </c>
      <c r="H20" s="191" t="str">
        <f t="shared" si="16"/>
        <v>20250402-4084-三重昌隆店(定保)</v>
      </c>
      <c r="I20" s="195">
        <v>45749.504861111112</v>
      </c>
      <c r="J20" s="193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5" t="str" cm="1">
        <f t="array" ref="L20">IF(K20&gt;0,IFERROR(HYPERLINK("#'IM'!AC"&amp;MATCH(1,(IM!$F$1:$F$7702=A20)*(ISNUMBER(SEARCH("PMQ2",IM!$AC$1:$AC$7702))),0),"檢核"),"未登錄"),"")</f>
        <v>檢核</v>
      </c>
      <c r="M20" s="268" t="str" cm="1">
        <f t="array" ref="M20">IF(AND(SUMPRODUCT((IM!F2:F675=A20)*(ISNUMBER(SEARCH("EDC", IM!AC2:AC675))))&gt;0), "EDC", "")</f>
        <v>EDC</v>
      </c>
      <c r="N20" s="311" t="str" cm="1">
        <f t="array" ref="N20">IF(AND(SUMPRODUCT((IM!F2:F675=A20)*(ISNUMBER(SEARCH("STAR", IM!AC2:AC675))))&gt;0), "STAR", "")</f>
        <v>STAR</v>
      </c>
      <c r="O20" s="302" cm="1">
        <f t="array" ref="O20">IFERROR(INDEX(IM!$X$2:$X$652, MATCH(1, (IM!$F$2:$F$652=A20) * (ISNUMBER(SEARCH($D$1, IM!$AC$2:$AC$652))), 0)), "")</f>
        <v>45749.504861111112</v>
      </c>
      <c r="P20" s="196" t="str">
        <f t="shared" si="17"/>
        <v>20250402-4084-三重昌隆店(定保)</v>
      </c>
      <c r="Q20" s="144"/>
      <c r="R20" s="144"/>
      <c r="S20" s="144"/>
      <c r="T20" s="144"/>
      <c r="U20" s="305">
        <f t="shared" si="18"/>
        <v>2</v>
      </c>
      <c r="V20" s="289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4">
        <v>4260</v>
      </c>
      <c r="B21" s="185" t="s">
        <v>350</v>
      </c>
      <c r="C21" s="186" t="str">
        <f>VLOOKUP($A21,'0919門市清單主檔'!B:V,20,FALSE)</f>
        <v>新北市</v>
      </c>
      <c r="D21" s="187" t="str">
        <f>VLOOKUP($A21,'0919門市清單主檔'!B:V,21,FALSE)</f>
        <v>三重區</v>
      </c>
      <c r="E21" s="188" t="str">
        <f>VLOOKUP(D21,區域表!A:B,2,FALSE)</f>
        <v>吳宗鴻</v>
      </c>
      <c r="F21" s="189" t="str">
        <f>IFERROR(IF(VLOOKUP(A21,門市狀態!A:D,4,FALSE)=0,"",VLOOKUP(A21,門市狀態!A:D,4,FALSE)),"")</f>
        <v/>
      </c>
      <c r="G21" s="190" t="s">
        <v>1749</v>
      </c>
      <c r="H21" s="191" t="str">
        <f t="shared" si="16"/>
        <v>20250402-4260-三重重高店(定保)</v>
      </c>
      <c r="I21" s="195">
        <v>45749.620138888888</v>
      </c>
      <c r="J21" s="193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5" t="str" cm="1">
        <f t="array" ref="L21">IF(K21&gt;0,IFERROR(HYPERLINK("#'IM'!AC"&amp;MATCH(1,(IM!$F$1:$F$7702=A21)*(ISNUMBER(SEARCH("PMQ2",IM!$AC$1:$AC$7702))),0),"檢核"),"未登錄"),"")</f>
        <v>檢核</v>
      </c>
      <c r="M21" s="268" t="str" cm="1">
        <f t="array" ref="M21">IF(AND(SUMPRODUCT((IM!F2:F676=A21)*(ISNUMBER(SEARCH("EDC", IM!AC2:AC676))))&gt;0), "EDC", "")</f>
        <v>EDC</v>
      </c>
      <c r="N21" s="311" t="str" cm="1">
        <f t="array" ref="N21">IF(AND(SUMPRODUCT((IM!F2:F676=A21)*(ISNUMBER(SEARCH("STAR", IM!AC2:AC676))))&gt;0), "STAR", "")</f>
        <v>STAR</v>
      </c>
      <c r="O21" s="302" cm="1">
        <f t="array" ref="O21">IFERROR(INDEX(IM!$X$2:$X$652, MATCH(1, (IM!$F$2:$F$652=A21) * (ISNUMBER(SEARCH($D$1, IM!$AC$2:$AC$652))), 0)), "")</f>
        <v>45749.620138888888</v>
      </c>
      <c r="P21" s="196" t="str">
        <f t="shared" si="17"/>
        <v>20250402-4260-三重重高店(定保)</v>
      </c>
      <c r="Q21" s="144"/>
      <c r="R21" s="144"/>
      <c r="S21" s="144"/>
      <c r="T21" s="144"/>
      <c r="U21" s="305">
        <f t="shared" si="18"/>
        <v>2</v>
      </c>
      <c r="V21" s="289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4">
        <v>2221</v>
      </c>
      <c r="B22" s="185" t="s">
        <v>1440</v>
      </c>
      <c r="C22" s="186" t="str">
        <f>VLOOKUP($A22,'0919門市清單主檔'!B:V,20,FALSE)</f>
        <v>新北市</v>
      </c>
      <c r="D22" s="187" t="str">
        <f>VLOOKUP($A22,'0919門市清單主檔'!B:V,21,FALSE)</f>
        <v>板橋區</v>
      </c>
      <c r="E22" s="188" t="str">
        <f>VLOOKUP(D22,區域表!A:B,2,FALSE)</f>
        <v>狄澤洋</v>
      </c>
      <c r="F22" s="189" t="str">
        <f>IFERROR(IF(VLOOKUP(A22,門市狀態!A:D,4,FALSE)=0,"",VLOOKUP(A22,門市狀態!A:D,4,FALSE)),"")</f>
        <v/>
      </c>
      <c r="G22" s="190" t="s">
        <v>1749</v>
      </c>
      <c r="H22" s="191" t="str">
        <f t="shared" si="16"/>
        <v>20250402-2221-板橋雙十店(定保)</v>
      </c>
      <c r="I22" s="195">
        <v>45749.659722222219</v>
      </c>
      <c r="J22" s="193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5" t="str" cm="1">
        <f t="array" ref="L22">IF(K22&gt;0,IFERROR(HYPERLINK("#'IM'!AC"&amp;MATCH(1,(IM!$F$1:$F$7702=A22)*(ISNUMBER(SEARCH("PMQ2",IM!$AC$1:$AC$7702))),0),"檢核"),"未登錄"),"")</f>
        <v>檢核</v>
      </c>
      <c r="M22" s="268" t="str" cm="1">
        <f t="array" ref="M22">IF(AND(SUMPRODUCT((IM!F2:F814=A22)*(ISNUMBER(SEARCH("EDC", IM!AC2:AC814))))&gt;0), "EDC", "")</f>
        <v>EDC</v>
      </c>
      <c r="N22" s="311" t="str" cm="1">
        <f t="array" ref="N22">IF(AND(SUMPRODUCT((IM!F2:F814=A22)*(ISNUMBER(SEARCH("STAR", IM!AC2:AC814))))&gt;0), "STAR", "")</f>
        <v>STAR</v>
      </c>
      <c r="O22" s="302" cm="1">
        <f t="array" ref="O22">IFERROR(INDEX(IM!$X$2:$X$652, MATCH(1, (IM!$F$2:$F$652=A22) * (ISNUMBER(SEARCH($D$1, IM!$AC$2:$AC$652))), 0)), "")</f>
        <v>45749.659722222219</v>
      </c>
      <c r="P22" s="196" t="str">
        <f t="shared" si="17"/>
        <v>20250402-2221-板橋雙十店(定保)</v>
      </c>
      <c r="Q22" s="144"/>
      <c r="R22" s="144"/>
      <c r="S22" s="144"/>
      <c r="T22" s="144"/>
      <c r="U22" s="305">
        <f t="shared" si="18"/>
        <v>1</v>
      </c>
      <c r="V22" s="289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4">
        <v>2321</v>
      </c>
      <c r="B23" s="185" t="s">
        <v>93</v>
      </c>
      <c r="C23" s="186" t="str">
        <f>VLOOKUP($A23,'0919門市清單主檔'!B:V,20,FALSE)</f>
        <v>新北市</v>
      </c>
      <c r="D23" s="187" t="str">
        <f>VLOOKUP($A23,'0919門市清單主檔'!B:V,21,FALSE)</f>
        <v>三重區</v>
      </c>
      <c r="E23" s="188" t="str">
        <f>VLOOKUP(D23,區域表!A:B,2,FALSE)</f>
        <v>吳宗鴻</v>
      </c>
      <c r="F23" s="189" t="str">
        <f>IFERROR(IF(VLOOKUP(A23,門市狀態!A:D,4,FALSE)=0,"",VLOOKUP(A23,門市狀態!A:D,4,FALSE)),"")</f>
        <v/>
      </c>
      <c r="G23" s="190" t="s">
        <v>1749</v>
      </c>
      <c r="H23" s="191" t="str">
        <f t="shared" si="16"/>
        <v>20250402-2321-北縣重鑫店(定保)</v>
      </c>
      <c r="I23" s="195">
        <v>45749.670138888891</v>
      </c>
      <c r="J23" s="193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5" t="str" cm="1">
        <f t="array" ref="L23">IF(K23&gt;0,IFERROR(HYPERLINK("#'IM'!AC"&amp;MATCH(1,(IM!$F$1:$F$7702=A23)*(ISNUMBER(SEARCH("PMQ2",IM!$AC$1:$AC$7702))),0),"檢核"),"未登錄"),"")</f>
        <v>檢核</v>
      </c>
      <c r="M23" s="268" t="str" cm="1">
        <f t="array" ref="M23">IF(AND(SUMPRODUCT((IM!F2:F677=A23)*(ISNUMBER(SEARCH("EDC", IM!AC2:AC677))))&gt;0), "EDC", "")</f>
        <v>EDC</v>
      </c>
      <c r="N23" s="311" t="str" cm="1">
        <f t="array" ref="N23">IF(AND(SUMPRODUCT((IM!F2:F677=A23)*(ISNUMBER(SEARCH("STAR", IM!AC2:AC677))))&gt;0), "STAR", "")</f>
        <v>STAR</v>
      </c>
      <c r="O23" s="302" cm="1">
        <f t="array" ref="O23">IFERROR(INDEX(IM!$X$2:$X$652, MATCH(1, (IM!$F$2:$F$652=A23) * (ISNUMBER(SEARCH($D$1, IM!$AC$2:$AC$652))), 0)), "")</f>
        <v>45749.670138888891</v>
      </c>
      <c r="P23" s="196" t="str">
        <f t="shared" si="17"/>
        <v>20250402-2321-北縣重鑫店(定保)</v>
      </c>
      <c r="Q23" s="144"/>
      <c r="R23" s="144"/>
      <c r="S23" s="144"/>
      <c r="T23" s="144"/>
      <c r="U23" s="305">
        <f t="shared" si="18"/>
        <v>2</v>
      </c>
      <c r="V23" s="289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4" t="s">
        <v>29</v>
      </c>
      <c r="B24" s="185" t="s">
        <v>640</v>
      </c>
      <c r="C24" s="186" t="str">
        <f>VLOOKUP($A24,'0919門市清單主檔'!B:V,20,FALSE)</f>
        <v>新北市</v>
      </c>
      <c r="D24" s="187" t="str">
        <f>VLOOKUP($A24,'0919門市清單主檔'!B:V,21,FALSE)</f>
        <v>板橋區</v>
      </c>
      <c r="E24" s="188" t="str">
        <f>VLOOKUP(D24,區域表!A:B,2,FALSE)</f>
        <v>狄澤洋</v>
      </c>
      <c r="F24" s="189" t="str">
        <f>IFERROR(IF(VLOOKUP(A24,門市狀態!A:D,4,FALSE)=0,"",VLOOKUP(A24,門市狀態!A:D,4,FALSE)),"")</f>
        <v/>
      </c>
      <c r="G24" s="190" t="s">
        <v>1749</v>
      </c>
      <c r="H24" s="191" t="str">
        <f t="shared" si="16"/>
        <v>20250402-D072-北縣僑福店(定保)</v>
      </c>
      <c r="I24" s="195">
        <v>45749.6875</v>
      </c>
      <c r="J24" s="193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5" t="str" cm="1">
        <f t="array" ref="L24">IF(K24&gt;0,IFERROR(HYPERLINK("#'IM'!AC"&amp;MATCH(1,(IM!$F$1:$F$7702=A24)*(ISNUMBER(SEARCH("PMQ2",IM!$AC$1:$AC$7702))),0),"檢核"),"未登錄"),"")</f>
        <v>檢核</v>
      </c>
      <c r="M24" s="268" t="str" cm="1">
        <f t="array" ref="M24">IF(AND(SUMPRODUCT((IM!F2:F805=A24)*(ISNUMBER(SEARCH("EDC", IM!AC2:AC805))))&gt;0), "EDC", "")</f>
        <v>EDC</v>
      </c>
      <c r="N24" s="311" t="str" cm="1">
        <f t="array" ref="N24">IF(AND(SUMPRODUCT((IM!F2:F805=A24)*(ISNUMBER(SEARCH("STAR", IM!AC2:AC805))))&gt;0), "STAR", "")</f>
        <v>STAR</v>
      </c>
      <c r="O24" s="302" cm="1">
        <f t="array" ref="O24">IFERROR(INDEX(IM!$X$2:$X$652, MATCH(1, (IM!$F$2:$F$652=A24) * (ISNUMBER(SEARCH($D$1, IM!$AC$2:$AC$652))), 0)), "")</f>
        <v>45749.6875</v>
      </c>
      <c r="P24" s="196" t="str">
        <f t="shared" si="17"/>
        <v>20250402-D072-北縣僑福店(定保)</v>
      </c>
      <c r="Q24" s="144"/>
      <c r="R24" s="144"/>
      <c r="S24" s="144"/>
      <c r="T24" s="144"/>
      <c r="U24" s="305">
        <f t="shared" si="18"/>
        <v>1</v>
      </c>
      <c r="V24" s="289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4">
        <v>4155</v>
      </c>
      <c r="B25" s="185" t="s">
        <v>320</v>
      </c>
      <c r="C25" s="186" t="str">
        <f>VLOOKUP($A25,'0919門市清單主檔'!B:V,20,FALSE)</f>
        <v>新北市</v>
      </c>
      <c r="D25" s="187" t="str">
        <f>VLOOKUP($A25,'0919門市清單主檔'!B:V,21,FALSE)</f>
        <v>三重區</v>
      </c>
      <c r="E25" s="188" t="str">
        <f>VLOOKUP(D25,區域表!A:B,2,FALSE)</f>
        <v>吳宗鴻</v>
      </c>
      <c r="F25" s="189" t="str">
        <f>IFERROR(IF(VLOOKUP(A25,門市狀態!A:D,4,FALSE)=0,"",VLOOKUP(A25,門市狀態!A:D,4,FALSE)),"")</f>
        <v/>
      </c>
      <c r="G25" s="190" t="s">
        <v>1749</v>
      </c>
      <c r="H25" s="191" t="str">
        <f t="shared" si="16"/>
        <v>20250407-4155-三重穀保店(定保)</v>
      </c>
      <c r="I25" s="195">
        <v>45754.461111111108</v>
      </c>
      <c r="J25" s="193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5" t="str" cm="1">
        <f t="array" ref="L25">IF(K25&gt;0,IFERROR(HYPERLINK("#'IM'!AC"&amp;MATCH(1,(IM!$F$1:$F$7702=A25)*(ISNUMBER(SEARCH("PMQ2",IM!$AC$1:$AC$7702))),0),"檢核"),"未登錄"),"")</f>
        <v>檢核</v>
      </c>
      <c r="M25" s="268" t="str" cm="1">
        <f t="array" ref="M25">IF(AND(SUMPRODUCT((IM!F2:F667=A25)*(ISNUMBER(SEARCH("EDC", IM!AC2:AC667))))&gt;0), "EDC", "")</f>
        <v>EDC</v>
      </c>
      <c r="N25" s="311" t="str" cm="1">
        <f t="array" ref="N25">IF(AND(SUMPRODUCT((IM!F2:F667=A25)*(ISNUMBER(SEARCH("STAR", IM!AC2:AC667))))&gt;0), "STAR", "")</f>
        <v>STAR</v>
      </c>
      <c r="O25" s="302" cm="1">
        <f t="array" ref="O25">IFERROR(INDEX(IM!$X$2:$X$652, MATCH(1, (IM!$F$2:$F$652=A25) * (ISNUMBER(SEARCH($D$1, IM!$AC$2:$AC$652))), 0)), "")</f>
        <v>45754.461111111108</v>
      </c>
      <c r="P25" s="196" t="str">
        <f t="shared" si="17"/>
        <v>20250407-4155-三重穀保店(定保)</v>
      </c>
      <c r="Q25" s="144"/>
      <c r="R25" s="144"/>
      <c r="S25" s="144"/>
      <c r="T25" s="144"/>
      <c r="U25" s="305">
        <f t="shared" si="18"/>
        <v>1</v>
      </c>
      <c r="V25" s="289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4">
        <v>4762</v>
      </c>
      <c r="B26" s="185" t="s">
        <v>518</v>
      </c>
      <c r="C26" s="186" t="str">
        <f>VLOOKUP($A26,'0919門市清單主檔'!B:V,20,FALSE)</f>
        <v>新北市</v>
      </c>
      <c r="D26" s="187" t="str">
        <f>VLOOKUP($A26,'0919門市清單主檔'!B:V,21,FALSE)</f>
        <v>新莊區</v>
      </c>
      <c r="E26" s="188" t="str">
        <f>VLOOKUP(D26,區域表!A:B,2,FALSE)</f>
        <v>湯家瑋</v>
      </c>
      <c r="F26" s="189" t="str">
        <f>IFERROR(IF(VLOOKUP(A26,門市狀態!A:D,4,FALSE)=0,"",VLOOKUP(A26,門市狀態!A:D,4,FALSE)),"")</f>
        <v/>
      </c>
      <c r="G26" s="190" t="s">
        <v>1749</v>
      </c>
      <c r="H26" s="191" t="str">
        <f t="shared" si="16"/>
        <v>20250407-4762-新莊巷口店(定保)</v>
      </c>
      <c r="I26" s="195">
        <v>45754.583333333336</v>
      </c>
      <c r="J26" s="193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5" t="str" cm="1">
        <f t="array" ref="L26">IF(K26&gt;0,IFERROR(HYPERLINK("#'IM'!AC"&amp;MATCH(1,(IM!$F$1:$F$7702=A26)*(ISNUMBER(SEARCH("PMQ2",IM!$AC$1:$AC$7702))),0),"檢核"),"未登錄"),"")</f>
        <v>檢核</v>
      </c>
      <c r="M26" s="268" t="str" cm="1">
        <f t="array" ref="M26">IF(AND(SUMPRODUCT((IM!F2:F782=A26)*(ISNUMBER(SEARCH("EDC", IM!AC2:AC782))))&gt;0), "EDC", "")</f>
        <v>EDC</v>
      </c>
      <c r="N26" s="311" t="str" cm="1">
        <f t="array" ref="N26">IF(AND(SUMPRODUCT((IM!F2:F782=A26)*(ISNUMBER(SEARCH("STAR", IM!AC2:AC782))))&gt;0), "STAR", "")</f>
        <v/>
      </c>
      <c r="O26" s="302" t="str" cm="1">
        <f t="array" ref="O26">IFERROR(INDEX(IM!$X$2:$X$652, MATCH(1, (IM!$F$2:$F$652=A26) * (ISNUMBER(SEARCH($D$1, IM!$AC$2:$AC$652))), 0)), "")</f>
        <v/>
      </c>
      <c r="P26" s="196" t="str">
        <f t="shared" si="17"/>
        <v>20250407-4762-新莊巷口店(定保)</v>
      </c>
      <c r="Q26" s="144"/>
      <c r="R26" s="144"/>
      <c r="S26" s="144"/>
      <c r="T26" s="144"/>
      <c r="U26" s="305">
        <f t="shared" si="18"/>
        <v>0</v>
      </c>
      <c r="V26" s="289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4">
        <v>3362</v>
      </c>
      <c r="B27" s="185" t="s">
        <v>184</v>
      </c>
      <c r="C27" s="186" t="str">
        <f>VLOOKUP($A27,'0919門市清單主檔'!B:V,20,FALSE)</f>
        <v>新北市</v>
      </c>
      <c r="D27" s="187" t="str">
        <f>VLOOKUP($A27,'0919門市清單主檔'!B:V,21,FALSE)</f>
        <v>三重區</v>
      </c>
      <c r="E27" s="188" t="str">
        <f>VLOOKUP(D27,區域表!A:B,2,FALSE)</f>
        <v>吳宗鴻</v>
      </c>
      <c r="F27" s="189" t="str">
        <f>IFERROR(IF(VLOOKUP(A27,門市狀態!A:D,4,FALSE)=0,"",VLOOKUP(A27,門市狀態!A:D,4,FALSE)),"")</f>
        <v/>
      </c>
      <c r="G27" s="190" t="s">
        <v>1749</v>
      </c>
      <c r="H27" s="191" t="str">
        <f t="shared" si="16"/>
        <v>-3362-北縣重武店(定保)</v>
      </c>
      <c r="I27" s="195" t="s">
        <v>1749</v>
      </c>
      <c r="J27" s="193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5" t="str" cm="1">
        <f t="array" ref="L27">IF(K27&gt;0,IFERROR(HYPERLINK("#'IM'!AC"&amp;MATCH(1,(IM!$F$1:$F$7702=A27)*(ISNUMBER(SEARCH("PMQ2",IM!$AC$1:$AC$7702))),0),"檢核"),"未登錄"),"")</f>
        <v/>
      </c>
      <c r="M27" s="268" t="str" cm="1">
        <f t="array" ref="M27">IF(AND(SUMPRODUCT((IM!F2:F652=A27)*(ISNUMBER(SEARCH("EDC", IM!AC2:AC652))))&gt;0), "EDC", "")</f>
        <v/>
      </c>
      <c r="N27" s="311" t="str" cm="1">
        <f t="array" ref="N27">IF(AND(SUMPRODUCT((IM!F2:F652=A27)*(ISNUMBER(SEARCH("STAR", IM!AC2:AC652))))&gt;0), "STAR", "")</f>
        <v/>
      </c>
      <c r="O27" s="302" t="str" cm="1">
        <f t="array" ref="O27">IFERROR(INDEX(IM!$X$2:$X$652, MATCH(1, (IM!$F$2:$F$652=A27) * (ISNUMBER(SEARCH($D$1, IM!$AC$2:$AC$652))), 0)), "")</f>
        <v/>
      </c>
      <c r="P27" s="196" t="str">
        <f t="shared" si="17"/>
        <v>-3362-北縣重武店(定保)</v>
      </c>
      <c r="Q27" s="315"/>
      <c r="R27" s="315"/>
      <c r="S27" s="315"/>
      <c r="T27" s="315"/>
      <c r="U27" s="305">
        <f t="shared" si="18"/>
        <v>1</v>
      </c>
      <c r="V27" s="289" t="str">
        <f t="shared" si="19"/>
        <v>未到店</v>
      </c>
      <c r="W27" s="316"/>
      <c r="X27" s="317" t="s">
        <v>4169</v>
      </c>
      <c r="Y27" s="5" t="str">
        <f t="shared" si="20"/>
        <v>STAR</v>
      </c>
    </row>
    <row r="28" spans="1:25" ht="15.75" customHeight="1">
      <c r="A28" s="184">
        <v>3890</v>
      </c>
      <c r="B28" s="185" t="s">
        <v>257</v>
      </c>
      <c r="C28" s="186" t="str">
        <f>VLOOKUP($A28,'0919門市清單主檔'!B:V,20,FALSE)</f>
        <v>新北市</v>
      </c>
      <c r="D28" s="187" t="str">
        <f>VLOOKUP($A28,'0919門市清單主檔'!B:V,21,FALSE)</f>
        <v>三重區</v>
      </c>
      <c r="E28" s="188" t="str">
        <f>VLOOKUP(D28,區域表!A:B,2,FALSE)</f>
        <v>吳宗鴻</v>
      </c>
      <c r="F28" s="189" t="str">
        <f>IFERROR(IF(VLOOKUP(A28,門市狀態!A:D,4,FALSE)=0,"",VLOOKUP(A28,門市狀態!A:D,4,FALSE)),"")</f>
        <v/>
      </c>
      <c r="G28" s="190" t="s">
        <v>1749</v>
      </c>
      <c r="H28" s="191" t="str">
        <f t="shared" si="16"/>
        <v>-3890-三重美堤店(定保)</v>
      </c>
      <c r="I28" s="195" t="s">
        <v>1749</v>
      </c>
      <c r="J28" s="193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5" t="str" cm="1">
        <f t="array" ref="L28">IF(K28&gt;0,IFERROR(HYPERLINK("#'IM'!AC"&amp;MATCH(1,(IM!$F$1:$F$7702=A28)*(ISNUMBER(SEARCH("PMQ2",IM!$AC$1:$AC$7702))),0),"檢核"),"未登錄"),"")</f>
        <v/>
      </c>
      <c r="M28" s="268" t="str" cm="1">
        <f t="array" ref="M28">IF(AND(SUMPRODUCT((IM!F2:F653=A28)*(ISNUMBER(SEARCH("EDC", IM!AC2:AC653))))&gt;0), "EDC", "")</f>
        <v/>
      </c>
      <c r="N28" s="311" t="str" cm="1">
        <f t="array" ref="N28">IF(AND(SUMPRODUCT((IM!F2:F653=A28)*(ISNUMBER(SEARCH("STAR", IM!AC2:AC653))))&gt;0), "STAR", "")</f>
        <v/>
      </c>
      <c r="O28" s="302" t="str" cm="1">
        <f t="array" ref="O28">IFERROR(INDEX(IM!$X$2:$X$652, MATCH(1, (IM!$F$2:$F$652=A28) * (ISNUMBER(SEARCH($D$1, IM!$AC$2:$AC$652))), 0)), "")</f>
        <v/>
      </c>
      <c r="P28" s="196" t="str">
        <f t="shared" si="17"/>
        <v>-3890-三重美堤店(定保)</v>
      </c>
      <c r="Q28" s="315"/>
      <c r="R28" s="315"/>
      <c r="S28" s="315"/>
      <c r="T28" s="315"/>
      <c r="U28" s="305">
        <f t="shared" si="18"/>
        <v>2</v>
      </c>
      <c r="V28" s="289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4">
        <v>4191</v>
      </c>
      <c r="B29" s="185" t="s">
        <v>329</v>
      </c>
      <c r="C29" s="186" t="str">
        <f>VLOOKUP($A29,'0919門市清單主檔'!B:V,20,FALSE)</f>
        <v>新北市</v>
      </c>
      <c r="D29" s="187" t="str">
        <f>VLOOKUP($A29,'0919門市清單主檔'!B:V,21,FALSE)</f>
        <v>三重區</v>
      </c>
      <c r="E29" s="188" t="str">
        <f>VLOOKUP(D29,區域表!A:B,2,FALSE)</f>
        <v>吳宗鴻</v>
      </c>
      <c r="F29" s="189" t="str">
        <f>IFERROR(IF(VLOOKUP(A29,門市狀態!A:D,4,FALSE)=0,"",VLOOKUP(A29,門市狀態!A:D,4,FALSE)),"")</f>
        <v/>
      </c>
      <c r="G29" s="190" t="s">
        <v>1749</v>
      </c>
      <c r="H29" s="191" t="str">
        <f t="shared" si="16"/>
        <v>-4191-三重溪美店(定保)</v>
      </c>
      <c r="I29" s="195" t="s">
        <v>1749</v>
      </c>
      <c r="J29" s="193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5" t="str" cm="1">
        <f t="array" ref="L29">IF(K29&gt;0,IFERROR(HYPERLINK("#'IM'!AC"&amp;MATCH(1,(IM!$F$1:$F$7702=A29)*(ISNUMBER(SEARCH("PMQ2",IM!$AC$1:$AC$7702))),0),"檢核"),"未登錄"),"")</f>
        <v/>
      </c>
      <c r="M29" s="268" t="str" cm="1">
        <f t="array" ref="M29">IF(AND(SUMPRODUCT((IM!F2:F654=A29)*(ISNUMBER(SEARCH("EDC", IM!AC2:AC654))))&gt;0), "EDC", "")</f>
        <v/>
      </c>
      <c r="N29" s="311" t="str" cm="1">
        <f t="array" ref="N29">IF(AND(SUMPRODUCT((IM!F2:F654=A29)*(ISNUMBER(SEARCH("STAR", IM!AC2:AC654))))&gt;0), "STAR", "")</f>
        <v/>
      </c>
      <c r="O29" s="302" t="str" cm="1">
        <f t="array" ref="O29">IFERROR(INDEX(IM!$X$2:$X$652, MATCH(1, (IM!$F$2:$F$652=A29) * (ISNUMBER(SEARCH($D$1, IM!$AC$2:$AC$652))), 0)), "")</f>
        <v/>
      </c>
      <c r="P29" s="196" t="str">
        <f t="shared" si="17"/>
        <v>-4191-三重溪美店(定保)</v>
      </c>
      <c r="Q29" s="315"/>
      <c r="R29" s="315"/>
      <c r="S29" s="315"/>
      <c r="T29" s="315"/>
      <c r="U29" s="305">
        <f t="shared" si="18"/>
        <v>2</v>
      </c>
      <c r="V29" s="289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4">
        <v>5245</v>
      </c>
      <c r="B30" s="185" t="s">
        <v>4127</v>
      </c>
      <c r="C30" s="186" t="str">
        <f>VLOOKUP($A30,'0919門市清單主檔'!B:V,20,FALSE)</f>
        <v>新北市</v>
      </c>
      <c r="D30" s="187" t="str">
        <f>VLOOKUP($A30,'0919門市清單主檔'!B:V,21,FALSE)</f>
        <v>三重區</v>
      </c>
      <c r="E30" s="188" t="str">
        <f>VLOOKUP(D30,區域表!A:B,2,FALSE)</f>
        <v>吳宗鴻</v>
      </c>
      <c r="F30" s="189" t="str">
        <f>IFERROR(IF(VLOOKUP(A30,門市狀態!A:D,4,FALSE)=0,"",VLOOKUP(A30,門市狀態!A:D,4,FALSE)),"")</f>
        <v/>
      </c>
      <c r="G30" s="190" t="s">
        <v>1749</v>
      </c>
      <c r="H30" s="191" t="str">
        <f t="shared" si="16"/>
        <v>-5245-三重護山店(定保)</v>
      </c>
      <c r="I30" s="195" t="s">
        <v>1749</v>
      </c>
      <c r="J30" s="193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5" t="str" cm="1">
        <f t="array" ref="L30">IF(K30&gt;0,IFERROR(HYPERLINK("#'IM'!AC"&amp;MATCH(1,(IM!$F$1:$F$7702=A30)*(ISNUMBER(SEARCH("PMQ2",IM!$AC$1:$AC$7702))),0),"檢核"),"未登錄"),"")</f>
        <v/>
      </c>
      <c r="M30" s="268" t="str" cm="1">
        <f t="array" ref="M30">IF(AND(SUMPRODUCT((IM!F2:F655=A30)*(ISNUMBER(SEARCH("EDC", IM!AC2:AC655))))&gt;0), "EDC", "")</f>
        <v/>
      </c>
      <c r="N30" s="311" t="str" cm="1">
        <f t="array" ref="N30">IF(AND(SUMPRODUCT((IM!F2:F655=A30)*(ISNUMBER(SEARCH("STAR", IM!AC2:AC655))))&gt;0), "STAR", "")</f>
        <v/>
      </c>
      <c r="O30" s="302" t="str" cm="1">
        <f t="array" ref="O30">IFERROR(INDEX(IM!$X$2:$X$652, MATCH(1, (IM!$F$2:$F$652=A30) * (ISNUMBER(SEARCH($D$1, IM!$AC$2:$AC$652))), 0)), "")</f>
        <v/>
      </c>
      <c r="P30" s="196" t="str">
        <f t="shared" si="17"/>
        <v>-5245-三重護山店(定保)</v>
      </c>
      <c r="Q30" s="144"/>
      <c r="R30" s="144"/>
      <c r="S30" s="144"/>
      <c r="T30" s="144"/>
      <c r="U30" s="305">
        <f t="shared" si="18"/>
        <v>0</v>
      </c>
      <c r="V30" s="289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4">
        <v>2259</v>
      </c>
      <c r="B31" s="185" t="s">
        <v>1462</v>
      </c>
      <c r="C31" s="186" t="str">
        <f>VLOOKUP($A31,'0919門市清單主檔'!B:V,20,FALSE)</f>
        <v>新北市</v>
      </c>
      <c r="D31" s="187" t="str">
        <f>VLOOKUP($A31,'0919門市清單主檔'!B:V,21,FALSE)</f>
        <v>三重區</v>
      </c>
      <c r="E31" s="188" t="str">
        <f>VLOOKUP(D31,區域表!A:B,2,FALSE)</f>
        <v>吳宗鴻</v>
      </c>
      <c r="F31" s="189" t="str">
        <f>IFERROR(IF(VLOOKUP(A31,門市狀態!A:D,4,FALSE)=0,"",VLOOKUP(A31,門市狀態!A:D,4,FALSE)),"")</f>
        <v/>
      </c>
      <c r="G31" s="190" t="s">
        <v>1749</v>
      </c>
      <c r="H31" s="191" t="str">
        <f t="shared" si="16"/>
        <v>-2259-三重興華店(定保)</v>
      </c>
      <c r="I31" s="195" t="s">
        <v>1749</v>
      </c>
      <c r="J31" s="193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5" t="str" cm="1">
        <f t="array" ref="L31">IF(K31&gt;0,IFERROR(HYPERLINK("#'IM'!AC"&amp;MATCH(1,(IM!$F$1:$F$7702=A31)*(ISNUMBER(SEARCH("PMQ2",IM!$AC$1:$AC$7702))),0),"檢核"),"未登錄"),"")</f>
        <v/>
      </c>
      <c r="M31" s="268" t="str" cm="1">
        <f t="array" ref="M31">IF(AND(SUMPRODUCT((IM!F2:F656=A31)*(ISNUMBER(SEARCH("EDC", IM!AC2:AC656))))&gt;0), "EDC", "")</f>
        <v/>
      </c>
      <c r="N31" s="311" t="str" cm="1">
        <f t="array" ref="N31">IF(AND(SUMPRODUCT((IM!F2:F656=A31)*(ISNUMBER(SEARCH("STAR", IM!AC2:AC656))))&gt;0), "STAR", "")</f>
        <v/>
      </c>
      <c r="O31" s="302" t="str" cm="1">
        <f t="array" ref="O31">IFERROR(INDEX(IM!$X$2:$X$652, MATCH(1, (IM!$F$2:$F$652=A31) * (ISNUMBER(SEARCH($D$1, IM!$AC$2:$AC$652))), 0)), "")</f>
        <v/>
      </c>
      <c r="P31" s="196" t="str">
        <f t="shared" si="17"/>
        <v>-2259-三重興華店(定保)</v>
      </c>
      <c r="Q31" s="144"/>
      <c r="R31" s="144"/>
      <c r="S31" s="144"/>
      <c r="T31" s="144"/>
      <c r="U31" s="305">
        <f t="shared" si="18"/>
        <v>2</v>
      </c>
      <c r="V31" s="289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4">
        <v>2837</v>
      </c>
      <c r="B32" s="185" t="s">
        <v>139</v>
      </c>
      <c r="C32" s="186" t="str">
        <f>VLOOKUP($A32,'0919門市清單主檔'!B:V,20,FALSE)</f>
        <v>新北市</v>
      </c>
      <c r="D32" s="187" t="str">
        <f>VLOOKUP($A32,'0919門市清單主檔'!B:V,21,FALSE)</f>
        <v>三重區</v>
      </c>
      <c r="E32" s="188" t="str">
        <f>VLOOKUP(D32,區域表!A:B,2,FALSE)</f>
        <v>吳宗鴻</v>
      </c>
      <c r="F32" s="189" t="str">
        <f>IFERROR(IF(VLOOKUP(A32,門市狀態!A:D,4,FALSE)=0,"",VLOOKUP(A32,門市狀態!A:D,4,FALSE)),"")</f>
        <v/>
      </c>
      <c r="G32" s="190" t="s">
        <v>1749</v>
      </c>
      <c r="H32" s="191" t="str">
        <f t="shared" si="16"/>
        <v>-2837-北縣重萬店(定保)</v>
      </c>
      <c r="I32" s="195" t="s">
        <v>1749</v>
      </c>
      <c r="J32" s="193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5" t="str" cm="1">
        <f t="array" ref="L32">IF(K32&gt;0,IFERROR(HYPERLINK("#'IM'!AC"&amp;MATCH(1,(IM!$F$1:$F$7702=A32)*(ISNUMBER(SEARCH("PMQ2",IM!$AC$1:$AC$7702))),0),"檢核"),"未登錄"),"")</f>
        <v/>
      </c>
      <c r="M32" s="268" t="str" cm="1">
        <f t="array" ref="M32">IF(AND(SUMPRODUCT((IM!F2:F657=A32)*(ISNUMBER(SEARCH("EDC", IM!AC2:AC657))))&gt;0), "EDC", "")</f>
        <v/>
      </c>
      <c r="N32" s="311" t="str" cm="1">
        <f t="array" ref="N32">IF(AND(SUMPRODUCT((IM!F2:F657=A32)*(ISNUMBER(SEARCH("STAR", IM!AC2:AC657))))&gt;0), "STAR", "")</f>
        <v/>
      </c>
      <c r="O32" s="302" t="str" cm="1">
        <f t="array" ref="O32">IFERROR(INDEX(IM!$X$2:$X$652, MATCH(1, (IM!$F$2:$F$652=A32) * (ISNUMBER(SEARCH($D$1, IM!$AC$2:$AC$652))), 0)), "")</f>
        <v/>
      </c>
      <c r="P32" s="196" t="str">
        <f t="shared" si="17"/>
        <v>-2837-北縣重萬店(定保)</v>
      </c>
      <c r="Q32" s="144"/>
      <c r="R32" s="144"/>
      <c r="S32" s="144"/>
      <c r="T32" s="144"/>
      <c r="U32" s="305">
        <f t="shared" si="18"/>
        <v>2</v>
      </c>
      <c r="V32" s="289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4" t="s">
        <v>42</v>
      </c>
      <c r="B33" s="185" t="s">
        <v>1485</v>
      </c>
      <c r="C33" s="186" t="str">
        <f>VLOOKUP($A33,'0919門市清單主檔'!B:V,20,FALSE)</f>
        <v>新北市</v>
      </c>
      <c r="D33" s="187" t="str">
        <f>VLOOKUP($A33,'0919門市清單主檔'!B:V,21,FALSE)</f>
        <v>淡水區</v>
      </c>
      <c r="E33" s="188" t="str">
        <f>VLOOKUP(D33,區域表!A:B,2,FALSE)</f>
        <v>吳宗鴻</v>
      </c>
      <c r="F33" s="189" t="str">
        <f>IFERROR(IF(VLOOKUP(A33,門市狀態!A:D,4,FALSE)=0,"",VLOOKUP(A33,門市狀態!A:D,4,FALSE)),"")</f>
        <v/>
      </c>
      <c r="G33" s="190" t="s">
        <v>1749</v>
      </c>
      <c r="H33" s="191" t="str">
        <f t="shared" si="16"/>
        <v>-A171-淡水金龍店(定保)</v>
      </c>
      <c r="I33" s="195" t="s">
        <v>1749</v>
      </c>
      <c r="J33" s="193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5" t="str" cm="1">
        <f t="array" ref="L33">IF(K33&gt;0,IFERROR(HYPERLINK("#'IM'!AC"&amp;MATCH(1,(IM!$F$1:$F$7702=A33)*(ISNUMBER(SEARCH("PMQ2",IM!$AC$1:$AC$7702))),0),"檢核"),"未登錄"),"")</f>
        <v/>
      </c>
      <c r="M33" s="268" t="str" cm="1">
        <f t="array" ref="M33">IF(AND(SUMPRODUCT((IM!F2:F658=A33)*(ISNUMBER(SEARCH("EDC", IM!AC2:AC658))))&gt;0), "EDC", "")</f>
        <v/>
      </c>
      <c r="N33" s="311" t="str" cm="1">
        <f t="array" ref="N33">IF(AND(SUMPRODUCT((IM!F2:F658=A33)*(ISNUMBER(SEARCH("STAR", IM!AC2:AC658))))&gt;0), "STAR", "")</f>
        <v/>
      </c>
      <c r="O33" s="302" t="str" cm="1">
        <f t="array" ref="O33">IFERROR(INDEX(IM!$X$2:$X$652, MATCH(1, (IM!$F$2:$F$652=A33) * (ISNUMBER(SEARCH($D$1, IM!$AC$2:$AC$652))), 0)), "")</f>
        <v/>
      </c>
      <c r="P33" s="196" t="str">
        <f t="shared" si="17"/>
        <v>-A171-淡水金龍店(定保)</v>
      </c>
      <c r="Q33" s="144"/>
      <c r="R33" s="144"/>
      <c r="S33" s="144"/>
      <c r="T33" s="144"/>
      <c r="U33" s="305">
        <f t="shared" si="18"/>
        <v>2</v>
      </c>
      <c r="V33" s="289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4" t="s">
        <v>44</v>
      </c>
      <c r="B34" s="185" t="s">
        <v>644</v>
      </c>
      <c r="C34" s="186" t="str">
        <f>VLOOKUP($A34,'0919門市清單主檔'!B:V,20,FALSE)</f>
        <v>新北市</v>
      </c>
      <c r="D34" s="187" t="str">
        <f>VLOOKUP($A34,'0919門市清單主檔'!B:V,21,FALSE)</f>
        <v>新莊區</v>
      </c>
      <c r="E34" s="188" t="str">
        <f>VLOOKUP(D34,區域表!A:B,2,FALSE)</f>
        <v>湯家瑋</v>
      </c>
      <c r="F34" s="189" t="str">
        <f>IFERROR(IF(VLOOKUP(A34,門市狀態!A:D,4,FALSE)=0,"",VLOOKUP(A34,門市狀態!A:D,4,FALSE)),"")</f>
        <v/>
      </c>
      <c r="G34" s="190" t="s">
        <v>1749</v>
      </c>
      <c r="H34" s="191" t="str">
        <f t="shared" si="16"/>
        <v>-D174-新莊裕民店(定保)</v>
      </c>
      <c r="I34" s="195" t="s">
        <v>1749</v>
      </c>
      <c r="J34" s="193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5" t="str" cm="1">
        <f t="array" ref="L34">IF(K34&gt;0,IFERROR(HYPERLINK("#'IM'!AC"&amp;MATCH(1,(IM!$F$1:$F$7702=A34)*(ISNUMBER(SEARCH("PMQ2",IM!$AC$1:$AC$7702))),0),"檢核"),"未登錄"),"")</f>
        <v/>
      </c>
      <c r="M34" s="268" t="str" cm="1">
        <f t="array" ref="M34">IF(AND(SUMPRODUCT((IM!F2:F659=A34)*(ISNUMBER(SEARCH("EDC", IM!AC2:AC659))))&gt;0), "EDC", "")</f>
        <v/>
      </c>
      <c r="N34" s="311" t="str" cm="1">
        <f t="array" ref="N34">IF(AND(SUMPRODUCT((IM!F2:F659=A34)*(ISNUMBER(SEARCH("STAR", IM!AC2:AC659))))&gt;0), "STAR", "")</f>
        <v/>
      </c>
      <c r="O34" s="302" t="str" cm="1">
        <f t="array" ref="O34">IFERROR(INDEX(IM!$X$2:$X$652, MATCH(1, (IM!$F$2:$F$652=A34) * (ISNUMBER(SEARCH($D$1, IM!$AC$2:$AC$652))), 0)), "")</f>
        <v/>
      </c>
      <c r="P34" s="196" t="str">
        <f t="shared" si="17"/>
        <v>-D174-新莊裕民店(定保)</v>
      </c>
      <c r="Q34" s="144"/>
      <c r="R34" s="144"/>
      <c r="S34" s="144"/>
      <c r="T34" s="144"/>
      <c r="U34" s="305">
        <f t="shared" si="18"/>
        <v>1</v>
      </c>
      <c r="V34" s="289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4" t="s">
        <v>34</v>
      </c>
      <c r="B35" s="185" t="s">
        <v>657</v>
      </c>
      <c r="C35" s="186" t="str">
        <f>VLOOKUP($A35,'0919門市清單主檔'!B:V,20,FALSE)</f>
        <v>新北市</v>
      </c>
      <c r="D35" s="187" t="str">
        <f>VLOOKUP($A35,'0919門市清單主檔'!B:V,21,FALSE)</f>
        <v>板橋區</v>
      </c>
      <c r="E35" s="188" t="str">
        <f>VLOOKUP(D35,區域表!A:B,2,FALSE)</f>
        <v>狄澤洋</v>
      </c>
      <c r="F35" s="189" t="str">
        <f>IFERROR(IF(VLOOKUP(A35,門市狀態!A:D,4,FALSE)=0,"",VLOOKUP(A35,門市狀態!A:D,4,FALSE)),"")</f>
        <v/>
      </c>
      <c r="G35" s="190" t="s">
        <v>1749</v>
      </c>
      <c r="H35" s="191" t="str">
        <f t="shared" si="16"/>
        <v>-D767-板橋寶翠店(定保)</v>
      </c>
      <c r="I35" s="195" t="s">
        <v>1749</v>
      </c>
      <c r="J35" s="193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5" t="str" cm="1">
        <f t="array" ref="L35">IF(K35&gt;0,IFERROR(HYPERLINK("#'IM'!AC"&amp;MATCH(1,(IM!$F$1:$F$7702=A35)*(ISNUMBER(SEARCH("PMQ2",IM!$AC$1:$AC$7702))),0),"檢核"),"未登錄"),"")</f>
        <v/>
      </c>
      <c r="M35" s="268" t="str" cm="1">
        <f t="array" ref="M35">IF(AND(SUMPRODUCT((IM!F2:F660=A35)*(ISNUMBER(SEARCH("EDC", IM!AC2:AC660))))&gt;0), "EDC", "")</f>
        <v/>
      </c>
      <c r="N35" s="311" t="str" cm="1">
        <f t="array" ref="N35">IF(AND(SUMPRODUCT((IM!F2:F660=A35)*(ISNUMBER(SEARCH("STAR", IM!AC2:AC660))))&gt;0), "STAR", "")</f>
        <v/>
      </c>
      <c r="O35" s="302" t="str" cm="1">
        <f t="array" ref="O35">IFERROR(INDEX(IM!$X$2:$X$652, MATCH(1, (IM!$F$2:$F$652=A35) * (ISNUMBER(SEARCH($D$1, IM!$AC$2:$AC$652))), 0)), "")</f>
        <v/>
      </c>
      <c r="P35" s="196" t="str">
        <f t="shared" si="17"/>
        <v>-D767-板橋寶翠店(定保)</v>
      </c>
      <c r="Q35" s="144"/>
      <c r="R35" s="144"/>
      <c r="S35" s="144"/>
      <c r="T35" s="144"/>
      <c r="U35" s="305">
        <f t="shared" si="18"/>
        <v>2</v>
      </c>
      <c r="V35" s="289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4">
        <v>4036</v>
      </c>
      <c r="B36" s="185" t="s">
        <v>1533</v>
      </c>
      <c r="C36" s="186" t="str">
        <f>VLOOKUP($A36,'0919門市清單主檔'!B:V,20,FALSE)</f>
        <v>新北市</v>
      </c>
      <c r="D36" s="187" t="str">
        <f>VLOOKUP($A36,'0919門市清單主檔'!B:V,21,FALSE)</f>
        <v>蘆洲區</v>
      </c>
      <c r="E36" s="188" t="str">
        <f>VLOOKUP(D36,區域表!A:B,2,FALSE)</f>
        <v>吳宗鴻</v>
      </c>
      <c r="F36" s="189" t="str">
        <f>IFERROR(IF(VLOOKUP(A36,門市狀態!A:D,4,FALSE)=0,"",VLOOKUP(A36,門市狀態!A:D,4,FALSE)),"")</f>
        <v/>
      </c>
      <c r="G36" s="190" t="s">
        <v>1749</v>
      </c>
      <c r="H36" s="191" t="str">
        <f t="shared" si="16"/>
        <v>-4036-蘆洲永樂店(定保)</v>
      </c>
      <c r="I36" s="195" t="s">
        <v>1749</v>
      </c>
      <c r="J36" s="193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5" t="str" cm="1">
        <f t="array" ref="L36">IF(K36&gt;0,IFERROR(HYPERLINK("#'IM'!AC"&amp;MATCH(1,(IM!$F$1:$F$7702=A36)*(ISNUMBER(SEARCH("PMQ2",IM!$AC$1:$AC$7702))),0),"檢核"),"未登錄"),"")</f>
        <v/>
      </c>
      <c r="M36" s="268" t="str" cm="1">
        <f t="array" ref="M36">IF(AND(SUMPRODUCT((IM!F2:F661=A36)*(ISNUMBER(SEARCH("EDC", IM!AC2:AC661))))&gt;0), "EDC", "")</f>
        <v/>
      </c>
      <c r="N36" s="311" t="str" cm="1">
        <f t="array" ref="N36">IF(AND(SUMPRODUCT((IM!F2:F661=A36)*(ISNUMBER(SEARCH("STAR", IM!AC2:AC661))))&gt;0), "STAR", "")</f>
        <v/>
      </c>
      <c r="O36" s="302" t="str" cm="1">
        <f t="array" ref="O36">IFERROR(INDEX(IM!$X$2:$X$652, MATCH(1, (IM!$F$2:$F$652=A36) * (ISNUMBER(SEARCH($D$1, IM!$AC$2:$AC$652))), 0)), "")</f>
        <v/>
      </c>
      <c r="P36" s="196" t="str">
        <f t="shared" si="17"/>
        <v>-4036-蘆洲永樂店(定保)</v>
      </c>
      <c r="Q36" s="144"/>
      <c r="R36" s="144"/>
      <c r="S36" s="144"/>
      <c r="T36" s="144"/>
      <c r="U36" s="305">
        <f t="shared" si="18"/>
        <v>1</v>
      </c>
      <c r="V36" s="289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4">
        <v>3052</v>
      </c>
      <c r="B37" s="185" t="s">
        <v>158</v>
      </c>
      <c r="C37" s="186" t="str">
        <f>VLOOKUP($A37,'0919門市清單主檔'!B:V,20,FALSE)</f>
        <v>新北市</v>
      </c>
      <c r="D37" s="187" t="str">
        <f>VLOOKUP($A37,'0919門市清單主檔'!B:V,21,FALSE)</f>
        <v>新莊區</v>
      </c>
      <c r="E37" s="188" t="str">
        <f>VLOOKUP(D37,區域表!A:B,2,FALSE)</f>
        <v>湯家瑋</v>
      </c>
      <c r="F37" s="189" t="str">
        <f>IFERROR(IF(VLOOKUP(A37,門市狀態!A:D,4,FALSE)=0,"",VLOOKUP(A37,門市狀態!A:D,4,FALSE)),"")</f>
        <v/>
      </c>
      <c r="G37" s="190" t="s">
        <v>1749</v>
      </c>
      <c r="H37" s="191" t="str">
        <f t="shared" si="16"/>
        <v>-3052-北縣莊玲店(定保)</v>
      </c>
      <c r="I37" s="195" t="s">
        <v>1749</v>
      </c>
      <c r="J37" s="193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5" t="str" cm="1">
        <f t="array" ref="L37">IF(K37&gt;0,IFERROR(HYPERLINK("#'IM'!AC"&amp;MATCH(1,(IM!$F$1:$F$7702=A37)*(ISNUMBER(SEARCH("PMQ2",IM!$AC$1:$AC$7702))),0),"檢核"),"未登錄"),"")</f>
        <v/>
      </c>
      <c r="M37" s="268" t="str" cm="1">
        <f t="array" ref="M37">IF(AND(SUMPRODUCT((IM!F2:F662=A37)*(ISNUMBER(SEARCH("EDC", IM!AC2:AC662))))&gt;0), "EDC", "")</f>
        <v/>
      </c>
      <c r="N37" s="311" t="str" cm="1">
        <f t="array" ref="N37">IF(AND(SUMPRODUCT((IM!F2:F662=A37)*(ISNUMBER(SEARCH("STAR", IM!AC2:AC662))))&gt;0), "STAR", "")</f>
        <v/>
      </c>
      <c r="O37" s="302" t="str" cm="1">
        <f t="array" ref="O37">IFERROR(INDEX(IM!$X$2:$X$652, MATCH(1, (IM!$F$2:$F$652=A37) * (ISNUMBER(SEARCH($D$1, IM!$AC$2:$AC$652))), 0)), "")</f>
        <v/>
      </c>
      <c r="P37" s="196" t="str">
        <f t="shared" si="17"/>
        <v>-3052-北縣莊玲店(定保)</v>
      </c>
      <c r="Q37" s="144"/>
      <c r="R37" s="144"/>
      <c r="S37" s="144"/>
      <c r="T37" s="144"/>
      <c r="U37" s="305">
        <f t="shared" si="18"/>
        <v>2</v>
      </c>
      <c r="V37" s="289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4">
        <v>3380</v>
      </c>
      <c r="B38" s="185" t="s">
        <v>186</v>
      </c>
      <c r="C38" s="186" t="str">
        <f>VLOOKUP($A38,'0919門市清單主檔'!B:V,20,FALSE)</f>
        <v>新北市</v>
      </c>
      <c r="D38" s="187" t="str">
        <f>VLOOKUP($A38,'0919門市清單主檔'!B:V,21,FALSE)</f>
        <v>新莊區</v>
      </c>
      <c r="E38" s="188" t="str">
        <f>VLOOKUP(D38,區域表!A:B,2,FALSE)</f>
        <v>湯家瑋</v>
      </c>
      <c r="F38" s="189" t="str">
        <f>IFERROR(IF(VLOOKUP(A38,門市狀態!A:D,4,FALSE)=0,"",VLOOKUP(A38,門市狀態!A:D,4,FALSE)),"")</f>
        <v/>
      </c>
      <c r="G38" s="190" t="s">
        <v>1749</v>
      </c>
      <c r="H38" s="191" t="str">
        <f t="shared" si="16"/>
        <v>-3380-北縣莊勝店(定保)</v>
      </c>
      <c r="I38" s="195" t="s">
        <v>1749</v>
      </c>
      <c r="J38" s="193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5" t="str" cm="1">
        <f t="array" ref="L38">IF(K38&gt;0,IFERROR(HYPERLINK("#'IM'!AC"&amp;MATCH(1,(IM!$F$1:$F$7702=A38)*(ISNUMBER(SEARCH("PMQ2",IM!$AC$1:$AC$7702))),0),"檢核"),"未登錄"),"")</f>
        <v/>
      </c>
      <c r="M38" s="268" t="str" cm="1">
        <f t="array" ref="M38">IF(AND(SUMPRODUCT((IM!F2:F663=A38)*(ISNUMBER(SEARCH("EDC", IM!AC2:AC663))))&gt;0), "EDC", "")</f>
        <v/>
      </c>
      <c r="N38" s="311" t="str" cm="1">
        <f t="array" ref="N38">IF(AND(SUMPRODUCT((IM!F2:F663=A38)*(ISNUMBER(SEARCH("STAR", IM!AC2:AC663))))&gt;0), "STAR", "")</f>
        <v/>
      </c>
      <c r="O38" s="302" t="str" cm="1">
        <f t="array" ref="O38">IFERROR(INDEX(IM!$X$2:$X$652, MATCH(1, (IM!$F$2:$F$652=A38) * (ISNUMBER(SEARCH($D$1, IM!$AC$2:$AC$652))), 0)), "")</f>
        <v/>
      </c>
      <c r="P38" s="196" t="str">
        <f t="shared" si="17"/>
        <v>-3380-北縣莊勝店(定保)</v>
      </c>
      <c r="Q38" s="144"/>
      <c r="R38" s="144"/>
      <c r="S38" s="144"/>
      <c r="T38" s="144"/>
      <c r="U38" s="305">
        <f t="shared" si="18"/>
        <v>1</v>
      </c>
      <c r="V38" s="289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4" t="s">
        <v>17</v>
      </c>
      <c r="B39" s="185" t="s">
        <v>1539</v>
      </c>
      <c r="C39" s="186" t="str">
        <f>VLOOKUP($A39,'0919門市清單主檔'!B:V,20,FALSE)</f>
        <v>新北市</v>
      </c>
      <c r="D39" s="187" t="str">
        <f>VLOOKUP($A39,'0919門市清單主檔'!B:V,21,FALSE)</f>
        <v>蘆洲區</v>
      </c>
      <c r="E39" s="188" t="str">
        <f>VLOOKUP(D39,區域表!A:B,2,FALSE)</f>
        <v>吳宗鴻</v>
      </c>
      <c r="F39" s="189" t="str">
        <f>IFERROR(IF(VLOOKUP(A39,門市狀態!A:D,4,FALSE)=0,"",VLOOKUP(A39,門市狀態!A:D,4,FALSE)),"")</f>
        <v/>
      </c>
      <c r="G39" s="190" t="s">
        <v>1749</v>
      </c>
      <c r="H39" s="191" t="str">
        <f t="shared" si="16"/>
        <v>-D193-蘆洲權義店(定保)</v>
      </c>
      <c r="I39" s="195" t="s">
        <v>1749</v>
      </c>
      <c r="J39" s="193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5" t="str" cm="1">
        <f t="array" ref="L39">IF(K39&gt;0,IFERROR(HYPERLINK("#'IM'!AC"&amp;MATCH(1,(IM!$F$1:$F$7702=A39)*(ISNUMBER(SEARCH("PMQ2",IM!$AC$1:$AC$7702))),0),"檢核"),"未登錄"),"")</f>
        <v/>
      </c>
      <c r="M39" s="268" t="str" cm="1">
        <f t="array" ref="M39">IF(AND(SUMPRODUCT((IM!F2:F664=A39)*(ISNUMBER(SEARCH("EDC", IM!AC2:AC664))))&gt;0), "EDC", "")</f>
        <v/>
      </c>
      <c r="N39" s="311" t="str" cm="1">
        <f t="array" ref="N39">IF(AND(SUMPRODUCT((IM!F2:F664=A39)*(ISNUMBER(SEARCH("STAR", IM!AC2:AC664))))&gt;0), "STAR", "")</f>
        <v/>
      </c>
      <c r="O39" s="302" t="str" cm="1">
        <f t="array" ref="O39">IFERROR(INDEX(IM!$X$2:$X$652, MATCH(1, (IM!$F$2:$F$652=A39) * (ISNUMBER(SEARCH($D$1, IM!$AC$2:$AC$652))), 0)), "")</f>
        <v/>
      </c>
      <c r="P39" s="196" t="str">
        <f t="shared" si="17"/>
        <v>-D193-蘆洲權義店(定保)</v>
      </c>
      <c r="Q39" s="144"/>
      <c r="R39" s="144"/>
      <c r="S39" s="144"/>
      <c r="T39" s="144"/>
      <c r="U39" s="305">
        <f t="shared" si="18"/>
        <v>2</v>
      </c>
      <c r="V39" s="289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4">
        <v>5082</v>
      </c>
      <c r="B40" s="185" t="s">
        <v>587</v>
      </c>
      <c r="C40" s="186" t="str">
        <f>VLOOKUP($A40,'0919門市清單主檔'!B:V,20,FALSE)</f>
        <v>新北市</v>
      </c>
      <c r="D40" s="187" t="str">
        <f>VLOOKUP($A40,'0919門市清單主檔'!B:V,21,FALSE)</f>
        <v>蘆洲區</v>
      </c>
      <c r="E40" s="188" t="str">
        <f>VLOOKUP(D40,區域表!A:B,2,FALSE)</f>
        <v>吳宗鴻</v>
      </c>
      <c r="F40" s="189" t="str">
        <f>IFERROR(IF(VLOOKUP(A40,門市狀態!A:D,4,FALSE)=0,"",VLOOKUP(A40,門市狀態!A:D,4,FALSE)),"")</f>
        <v/>
      </c>
      <c r="G40" s="190" t="s">
        <v>1749</v>
      </c>
      <c r="H40" s="191" t="str">
        <f t="shared" si="16"/>
        <v>-5082-蘆洲水湳店(定保)</v>
      </c>
      <c r="I40" s="195" t="s">
        <v>1749</v>
      </c>
      <c r="J40" s="193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5" t="str" cm="1">
        <f t="array" ref="L40">IF(K40&gt;0,IFERROR(HYPERLINK("#'IM'!AC"&amp;MATCH(1,(IM!$F$1:$F$7702=A40)*(ISNUMBER(SEARCH("PMQ2",IM!$AC$1:$AC$7702))),0),"檢核"),"未登錄"),"")</f>
        <v/>
      </c>
      <c r="M40" s="268" t="str" cm="1">
        <f t="array" ref="M40">IF(AND(SUMPRODUCT((IM!F2:F665=A40)*(ISNUMBER(SEARCH("EDC", IM!AC2:AC665))))&gt;0), "EDC", "")</f>
        <v/>
      </c>
      <c r="N40" s="311" t="str" cm="1">
        <f t="array" ref="N40">IF(AND(SUMPRODUCT((IM!F2:F665=A40)*(ISNUMBER(SEARCH("STAR", IM!AC2:AC665))))&gt;0), "STAR", "")</f>
        <v/>
      </c>
      <c r="O40" s="302" t="str" cm="1">
        <f t="array" ref="O40">IFERROR(INDEX(IM!$X$2:$X$652, MATCH(1, (IM!$F$2:$F$652=A40) * (ISNUMBER(SEARCH($D$1, IM!$AC$2:$AC$652))), 0)), "")</f>
        <v/>
      </c>
      <c r="P40" s="196" t="str">
        <f t="shared" si="17"/>
        <v>-5082-蘆洲水湳店(定保)</v>
      </c>
      <c r="Q40" s="144"/>
      <c r="R40" s="144"/>
      <c r="S40" s="144"/>
      <c r="T40" s="144"/>
      <c r="U40" s="305">
        <f t="shared" si="18"/>
        <v>0</v>
      </c>
      <c r="V40" s="289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4">
        <v>2301</v>
      </c>
      <c r="B41" s="185" t="s">
        <v>1526</v>
      </c>
      <c r="C41" s="186" t="str">
        <f>VLOOKUP($A41,'0919門市清單主檔'!B:V,20,FALSE)</f>
        <v>新北市</v>
      </c>
      <c r="D41" s="187" t="str">
        <f>VLOOKUP($A41,'0919門市清單主檔'!B:V,21,FALSE)</f>
        <v>蘆洲區</v>
      </c>
      <c r="E41" s="188" t="str">
        <f>VLOOKUP(D41,區域表!A:B,2,FALSE)</f>
        <v>吳宗鴻</v>
      </c>
      <c r="F41" s="189" t="str">
        <f>IFERROR(IF(VLOOKUP(A41,門市狀態!A:D,4,FALSE)=0,"",VLOOKUP(A41,門市狀態!A:D,4,FALSE)),"")</f>
        <v/>
      </c>
      <c r="G41" s="190" t="s">
        <v>1749</v>
      </c>
      <c r="H41" s="191" t="str">
        <f t="shared" si="16"/>
        <v>-2301-蘆洲樂平店(定保)</v>
      </c>
      <c r="I41" s="195" t="s">
        <v>1749</v>
      </c>
      <c r="J41" s="193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5" t="str" cm="1">
        <f t="array" ref="L41">IF(K41&gt;0,IFERROR(HYPERLINK("#'IM'!AC"&amp;MATCH(1,(IM!$F$1:$F$7702=A41)*(ISNUMBER(SEARCH("PMQ2",IM!$AC$1:$AC$7702))),0),"檢核"),"未登錄"),"")</f>
        <v/>
      </c>
      <c r="M41" s="268" t="str" cm="1">
        <f t="array" ref="M41">IF(AND(SUMPRODUCT((IM!F2:F666=A41)*(ISNUMBER(SEARCH("EDC", IM!AC2:AC666))))&gt;0), "EDC", "")</f>
        <v/>
      </c>
      <c r="N41" s="311" t="str" cm="1">
        <f t="array" ref="N41">IF(AND(SUMPRODUCT((IM!F2:F666=A41)*(ISNUMBER(SEARCH("STAR", IM!AC2:AC666))))&gt;0), "STAR", "")</f>
        <v/>
      </c>
      <c r="O41" s="302" t="str" cm="1">
        <f t="array" ref="O41">IFERROR(INDEX(IM!$X$2:$X$652, MATCH(1, (IM!$F$2:$F$652=A41) * (ISNUMBER(SEARCH($D$1, IM!$AC$2:$AC$652))), 0)), "")</f>
        <v/>
      </c>
      <c r="P41" s="196" t="str">
        <f t="shared" si="17"/>
        <v>-2301-蘆洲樂平店(定保)</v>
      </c>
      <c r="Q41" s="144"/>
      <c r="R41" s="144"/>
      <c r="S41" s="144"/>
      <c r="T41" s="144"/>
      <c r="U41" s="305">
        <f t="shared" si="18"/>
        <v>2</v>
      </c>
      <c r="V41" s="289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4" t="s">
        <v>38</v>
      </c>
      <c r="B42" s="185" t="s">
        <v>4150</v>
      </c>
      <c r="C42" s="186" t="str">
        <f>VLOOKUP($A42,'0919門市清單主檔'!B:V,20,FALSE)</f>
        <v>新北市</v>
      </c>
      <c r="D42" s="187" t="str">
        <f>VLOOKUP($A42,'0919門市清單主檔'!B:V,21,FALSE)</f>
        <v>三重區</v>
      </c>
      <c r="E42" s="188" t="str">
        <f>VLOOKUP(D42,區域表!A:B,2,FALSE)</f>
        <v>吳宗鴻</v>
      </c>
      <c r="F42" s="189" t="str">
        <f>IFERROR(IF(VLOOKUP(A42,門市狀態!A:D,4,FALSE)=0,"",VLOOKUP(A42,門市狀態!A:D,4,FALSE)),"")</f>
        <v/>
      </c>
      <c r="G42" s="190" t="s">
        <v>1749</v>
      </c>
      <c r="H42" s="191" t="str">
        <f t="shared" si="16"/>
        <v>-D390-三重大有店(定保)</v>
      </c>
      <c r="I42" s="195" t="s">
        <v>1749</v>
      </c>
      <c r="J42" s="193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5" t="str" cm="1">
        <f t="array" ref="L42">IF(K42&gt;0,IFERROR(HYPERLINK("#'IM'!AC"&amp;MATCH(1,(IM!$F$1:$F$7702=A42)*(ISNUMBER(SEARCH("PMQ2",IM!$AC$1:$AC$7702))),0),"檢核"),"未登錄"),"")</f>
        <v/>
      </c>
      <c r="M42" s="268" t="str" cm="1">
        <f t="array" ref="M42">IF(AND(SUMPRODUCT((IM!F2:F668=A42)*(ISNUMBER(SEARCH("EDC", IM!AC2:AC668))))&gt;0), "EDC", "")</f>
        <v/>
      </c>
      <c r="N42" s="311" t="str" cm="1">
        <f t="array" ref="N42">IF(AND(SUMPRODUCT((IM!F2:F668=A42)*(ISNUMBER(SEARCH("STAR", IM!AC2:AC668))))&gt;0), "STAR", "")</f>
        <v/>
      </c>
      <c r="O42" s="302" t="str" cm="1">
        <f t="array" ref="O42">IFERROR(INDEX(IM!$X$2:$X$652, MATCH(1, (IM!$F$2:$F$652=A42) * (ISNUMBER(SEARCH($D$1, IM!$AC$2:$AC$652))), 0)), "")</f>
        <v/>
      </c>
      <c r="P42" s="196" t="str">
        <f t="shared" si="17"/>
        <v>-D390-三重大有店(定保)</v>
      </c>
      <c r="Q42" s="144"/>
      <c r="R42" s="144"/>
      <c r="S42" s="144"/>
      <c r="T42" s="144"/>
      <c r="U42" s="305">
        <f t="shared" si="18"/>
        <v>2</v>
      </c>
      <c r="V42" s="289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4">
        <v>3977</v>
      </c>
      <c r="B43" s="185" t="s">
        <v>282</v>
      </c>
      <c r="C43" s="186" t="str">
        <f>VLOOKUP($A43,'0919門市清單主檔'!B:V,20,FALSE)</f>
        <v>新北市</v>
      </c>
      <c r="D43" s="187" t="str">
        <f>VLOOKUP($A43,'0919門市清單主檔'!B:V,21,FALSE)</f>
        <v>板橋區</v>
      </c>
      <c r="E43" s="188" t="str">
        <f>VLOOKUP(D43,區域表!A:B,2,FALSE)</f>
        <v>狄澤洋</v>
      </c>
      <c r="F43" s="189" t="str">
        <f>IFERROR(IF(VLOOKUP(A43,門市狀態!A:D,4,FALSE)=0,"",VLOOKUP(A43,門市狀態!A:D,4,FALSE)),"")</f>
        <v/>
      </c>
      <c r="G43" s="190" t="s">
        <v>1749</v>
      </c>
      <c r="H43" s="191" t="str">
        <f t="shared" si="16"/>
        <v>-3977-板橋玉川店(定保)</v>
      </c>
      <c r="I43" s="195" t="s">
        <v>1749</v>
      </c>
      <c r="J43" s="193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5" t="str" cm="1">
        <f t="array" ref="L43">IF(K43&gt;0,IFERROR(HYPERLINK("#'IM'!AC"&amp;MATCH(1,(IM!$F$1:$F$7702=A43)*(ISNUMBER(SEARCH("PMQ2",IM!$AC$1:$AC$7702))),0),"檢核"),"未登錄"),"")</f>
        <v/>
      </c>
      <c r="M43" s="268" t="str" cm="1">
        <f t="array" ref="M43">IF(AND(SUMPRODUCT((IM!F2:F669=A43)*(ISNUMBER(SEARCH("EDC", IM!AC2:AC669))))&gt;0), "EDC", "")</f>
        <v/>
      </c>
      <c r="N43" s="311" t="str" cm="1">
        <f t="array" ref="N43">IF(AND(SUMPRODUCT((IM!F2:F669=A43)*(ISNUMBER(SEARCH("STAR", IM!AC2:AC669))))&gt;0), "STAR", "")</f>
        <v/>
      </c>
      <c r="O43" s="302" t="str" cm="1">
        <f t="array" ref="O43">IFERROR(INDEX(IM!$X$2:$X$652, MATCH(1, (IM!$F$2:$F$652=A43) * (ISNUMBER(SEARCH($D$1, IM!$AC$2:$AC$652))), 0)), "")</f>
        <v/>
      </c>
      <c r="P43" s="196" t="str">
        <f t="shared" si="17"/>
        <v>-3977-板橋玉川店(定保)</v>
      </c>
      <c r="Q43" s="144"/>
      <c r="R43" s="144"/>
      <c r="S43" s="144"/>
      <c r="T43" s="144"/>
      <c r="U43" s="305">
        <f t="shared" si="18"/>
        <v>0</v>
      </c>
      <c r="V43" s="289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4">
        <v>4968</v>
      </c>
      <c r="B44" s="185" t="s">
        <v>576</v>
      </c>
      <c r="C44" s="186" t="str">
        <f>VLOOKUP($A44,'0919門市清單主檔'!B:V,20,FALSE)</f>
        <v>新北市</v>
      </c>
      <c r="D44" s="187" t="str">
        <f>VLOOKUP($A44,'0919門市清單主檔'!B:V,21,FALSE)</f>
        <v>三重區</v>
      </c>
      <c r="E44" s="188" t="str">
        <f>VLOOKUP(D44,區域表!A:B,2,FALSE)</f>
        <v>吳宗鴻</v>
      </c>
      <c r="F44" s="189" t="str">
        <f>IFERROR(IF(VLOOKUP(A44,門市狀態!A:D,4,FALSE)=0,"",VLOOKUP(A44,門市狀態!A:D,4,FALSE)),"")</f>
        <v/>
      </c>
      <c r="G44" s="190" t="s">
        <v>1749</v>
      </c>
      <c r="H44" s="191" t="str">
        <f t="shared" si="16"/>
        <v>-4968-三重太璞宮(定保)</v>
      </c>
      <c r="I44" s="195" t="s">
        <v>1749</v>
      </c>
      <c r="J44" s="193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5" t="str" cm="1">
        <f t="array" ref="L44">IF(K44&gt;0,IFERROR(HYPERLINK("#'IM'!AC"&amp;MATCH(1,(IM!$F$1:$F$7702=A44)*(ISNUMBER(SEARCH("PMQ2",IM!$AC$1:$AC$7702))),0),"檢核"),"未登錄"),"")</f>
        <v/>
      </c>
      <c r="M44" s="268" t="str" cm="1">
        <f t="array" ref="M44">IF(AND(SUMPRODUCT((IM!F2:F670=A44)*(ISNUMBER(SEARCH("EDC", IM!AC2:AC670))))&gt;0), "EDC", "")</f>
        <v/>
      </c>
      <c r="N44" s="311" t="str" cm="1">
        <f t="array" ref="N44">IF(AND(SUMPRODUCT((IM!F2:F670=A44)*(ISNUMBER(SEARCH("STAR", IM!AC2:AC670))))&gt;0), "STAR", "")</f>
        <v/>
      </c>
      <c r="O44" s="302" t="str" cm="1">
        <f t="array" ref="O44">IFERROR(INDEX(IM!$X$2:$X$652, MATCH(1, (IM!$F$2:$F$652=A44) * (ISNUMBER(SEARCH($D$1, IM!$AC$2:$AC$652))), 0)), "")</f>
        <v/>
      </c>
      <c r="P44" s="196" t="str">
        <f t="shared" si="17"/>
        <v>-4968-三重太璞宮(定保)</v>
      </c>
      <c r="Q44" s="144"/>
      <c r="R44" s="144"/>
      <c r="S44" s="144"/>
      <c r="T44" s="144"/>
      <c r="U44" s="305">
        <f t="shared" si="18"/>
        <v>1</v>
      </c>
      <c r="V44" s="289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4">
        <v>2014</v>
      </c>
      <c r="B45" s="185" t="s">
        <v>58</v>
      </c>
      <c r="C45" s="186" t="str">
        <f>VLOOKUP($A45,'0919門市清單主檔'!B:V,20,FALSE)</f>
        <v>新北市</v>
      </c>
      <c r="D45" s="187" t="str">
        <f>VLOOKUP($A45,'0919門市清單主檔'!B:V,21,FALSE)</f>
        <v>三重區</v>
      </c>
      <c r="E45" s="188" t="str">
        <f>VLOOKUP(D45,區域表!A:B,2,FALSE)</f>
        <v>吳宗鴻</v>
      </c>
      <c r="F45" s="189" t="str">
        <f>IFERROR(IF(VLOOKUP(A45,門市狀態!A:D,4,FALSE)=0,"",VLOOKUP(A45,門市狀態!A:D,4,FALSE)),"")</f>
        <v/>
      </c>
      <c r="G45" s="190" t="s">
        <v>1749</v>
      </c>
      <c r="H45" s="191" t="str">
        <f t="shared" si="16"/>
        <v>-2014-三重中陽二店(定保)</v>
      </c>
      <c r="I45" s="195" t="s">
        <v>1749</v>
      </c>
      <c r="J45" s="193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5" t="str" cm="1">
        <f t="array" ref="L45">IF(K45&gt;0,IFERROR(HYPERLINK("#'IM'!AC"&amp;MATCH(1,(IM!$F$1:$F$7702=A45)*(ISNUMBER(SEARCH("PMQ2",IM!$AC$1:$AC$7702))),0),"檢核"),"未登錄"),"")</f>
        <v/>
      </c>
      <c r="M45" s="268" t="str" cm="1">
        <f t="array" ref="M45">IF(AND(SUMPRODUCT((IM!F2:F671=A45)*(ISNUMBER(SEARCH("EDC", IM!AC2:AC671))))&gt;0), "EDC", "")</f>
        <v/>
      </c>
      <c r="N45" s="311" t="str" cm="1">
        <f t="array" ref="N45">IF(AND(SUMPRODUCT((IM!F2:F671=A45)*(ISNUMBER(SEARCH("STAR", IM!AC2:AC671))))&gt;0), "STAR", "")</f>
        <v/>
      </c>
      <c r="O45" s="302" t="str" cm="1">
        <f t="array" ref="O45">IFERROR(INDEX(IM!$X$2:$X$652, MATCH(1, (IM!$F$2:$F$652=A45) * (ISNUMBER(SEARCH($D$1, IM!$AC$2:$AC$652))), 0)), "")</f>
        <v/>
      </c>
      <c r="P45" s="196" t="str">
        <f t="shared" si="17"/>
        <v>-2014-三重中陽二店(定保)</v>
      </c>
      <c r="Q45" s="144"/>
      <c r="R45" s="144"/>
      <c r="S45" s="144"/>
      <c r="T45" s="144"/>
      <c r="U45" s="305">
        <f t="shared" si="18"/>
        <v>2</v>
      </c>
      <c r="V45" s="289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4">
        <v>4856</v>
      </c>
      <c r="B46" s="185" t="s">
        <v>549</v>
      </c>
      <c r="C46" s="186" t="str">
        <f>VLOOKUP($A46,'0919門市清單主檔'!B:V,20,FALSE)</f>
        <v>新北市</v>
      </c>
      <c r="D46" s="187" t="str">
        <f>VLOOKUP($A46,'0919門市清單主檔'!B:V,21,FALSE)</f>
        <v>新莊區</v>
      </c>
      <c r="E46" s="188" t="str">
        <f>VLOOKUP(D46,區域表!A:B,2,FALSE)</f>
        <v>湯家瑋</v>
      </c>
      <c r="F46" s="189" t="str">
        <f>IFERROR(IF(VLOOKUP(A46,門市狀態!A:D,4,FALSE)=0,"",VLOOKUP(A46,門市狀態!A:D,4,FALSE)),"")</f>
        <v/>
      </c>
      <c r="G46" s="190" t="s">
        <v>1749</v>
      </c>
      <c r="H46" s="191" t="str">
        <f t="shared" si="16"/>
        <v>-4856-新莊小胖店(定保)</v>
      </c>
      <c r="I46" s="195" t="s">
        <v>1749</v>
      </c>
      <c r="J46" s="193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5" t="str" cm="1">
        <f t="array" ref="L46">IF(K46&gt;0,IFERROR(HYPERLINK("#'IM'!AC"&amp;MATCH(1,(IM!$F$1:$F$7702=A46)*(ISNUMBER(SEARCH("PMQ2",IM!$AC$1:$AC$7702))),0),"檢核"),"未登錄"),"")</f>
        <v/>
      </c>
      <c r="M46" s="268" t="str" cm="1">
        <f t="array" ref="M46">IF(AND(SUMPRODUCT((IM!F2:F672=A46)*(ISNUMBER(SEARCH("EDC", IM!AC2:AC672))))&gt;0), "EDC", "")</f>
        <v/>
      </c>
      <c r="N46" s="311" t="str" cm="1">
        <f t="array" ref="N46">IF(AND(SUMPRODUCT((IM!F2:F672=A46)*(ISNUMBER(SEARCH("STAR", IM!AC2:AC672))))&gt;0), "STAR", "")</f>
        <v/>
      </c>
      <c r="O46" s="302" t="str" cm="1">
        <f t="array" ref="O46">IFERROR(INDEX(IM!$X$2:$X$652, MATCH(1, (IM!$F$2:$F$652=A46) * (ISNUMBER(SEARCH($D$1, IM!$AC$2:$AC$652))), 0)), "")</f>
        <v/>
      </c>
      <c r="P46" s="196" t="str">
        <f t="shared" si="17"/>
        <v>-4856-新莊小胖店(定保)</v>
      </c>
      <c r="Q46" s="144"/>
      <c r="R46" s="144"/>
      <c r="S46" s="144"/>
      <c r="T46" s="144"/>
      <c r="U46" s="305">
        <f t="shared" si="18"/>
        <v>1</v>
      </c>
      <c r="V46" s="289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4">
        <v>4134</v>
      </c>
      <c r="B47" s="185" t="s">
        <v>1576</v>
      </c>
      <c r="C47" s="186" t="str">
        <f>VLOOKUP($A47,'0919門市清單主檔'!B:V,20,FALSE)</f>
        <v>新北市</v>
      </c>
      <c r="D47" s="187" t="str">
        <f>VLOOKUP($A47,'0919門市清單主檔'!B:V,21,FALSE)</f>
        <v>三重區</v>
      </c>
      <c r="E47" s="188" t="str">
        <f>VLOOKUP(D47,區域表!A:B,2,FALSE)</f>
        <v>吳宗鴻</v>
      </c>
      <c r="F47" s="189" t="str">
        <f>IFERROR(IF(VLOOKUP(A47,門市狀態!A:D,4,FALSE)=0,"",VLOOKUP(A47,門市狀態!A:D,4,FALSE)),"")</f>
        <v/>
      </c>
      <c r="G47" s="190" t="s">
        <v>1749</v>
      </c>
      <c r="H47" s="191" t="str">
        <f t="shared" si="16"/>
        <v>-4134-三重大同南(定保)</v>
      </c>
      <c r="I47" s="195" t="s">
        <v>1749</v>
      </c>
      <c r="J47" s="193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5" t="str" cm="1">
        <f t="array" ref="L47">IF(K47&gt;0,IFERROR(HYPERLINK("#'IM'!AC"&amp;MATCH(1,(IM!$F$1:$F$7702=A47)*(ISNUMBER(SEARCH("PMQ2",IM!$AC$1:$AC$7702))),0),"檢核"),"未登錄"),"")</f>
        <v/>
      </c>
      <c r="M47" s="268" t="str" cm="1">
        <f t="array" ref="M47">IF(AND(SUMPRODUCT((IM!F2:F678=A47)*(ISNUMBER(SEARCH("EDC", IM!AC2:AC678))))&gt;0), "EDC", "")</f>
        <v/>
      </c>
      <c r="N47" s="311" t="str" cm="1">
        <f t="array" ref="N47">IF(AND(SUMPRODUCT((IM!F2:F678=A47)*(ISNUMBER(SEARCH("STAR", IM!AC2:AC678))))&gt;0), "STAR", "")</f>
        <v/>
      </c>
      <c r="O47" s="302" t="str" cm="1">
        <f t="array" ref="O47">IFERROR(INDEX(IM!$X$2:$X$652, MATCH(1, (IM!$F$2:$F$652=A47) * (ISNUMBER(SEARCH($D$1, IM!$AC$2:$AC$652))), 0)), "")</f>
        <v/>
      </c>
      <c r="P47" s="196" t="str">
        <f t="shared" si="17"/>
        <v>-4134-三重大同南(定保)</v>
      </c>
      <c r="Q47" s="144"/>
      <c r="R47" s="144"/>
      <c r="S47" s="144"/>
      <c r="T47" s="144"/>
      <c r="U47" s="305">
        <f t="shared" si="18"/>
        <v>2</v>
      </c>
      <c r="V47" s="289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4">
        <v>2759</v>
      </c>
      <c r="B48" s="185" t="s">
        <v>1466</v>
      </c>
      <c r="C48" s="186" t="str">
        <f>VLOOKUP($A48,'0919門市清單主檔'!B:V,20,FALSE)</f>
        <v>新北市</v>
      </c>
      <c r="D48" s="187" t="str">
        <f>VLOOKUP($A48,'0919門市清單主檔'!B:V,21,FALSE)</f>
        <v>三重區</v>
      </c>
      <c r="E48" s="188" t="str">
        <f>VLOOKUP(D48,區域表!A:B,2,FALSE)</f>
        <v>吳宗鴻</v>
      </c>
      <c r="F48" s="189" t="str">
        <f>IFERROR(IF(VLOOKUP(A48,門市狀態!A:D,4,FALSE)=0,"",VLOOKUP(A48,門市狀態!A:D,4,FALSE)),"")</f>
        <v/>
      </c>
      <c r="G48" s="190" t="s">
        <v>1749</v>
      </c>
      <c r="H48" s="191" t="str">
        <f t="shared" si="16"/>
        <v>-2759-三重仁化店(定保)</v>
      </c>
      <c r="I48" s="195" t="s">
        <v>1749</v>
      </c>
      <c r="J48" s="193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5" t="str" cm="1">
        <f t="array" ref="L48">IF(K48&gt;0,IFERROR(HYPERLINK("#'IM'!AC"&amp;MATCH(1,(IM!$F$1:$F$7702=A48)*(ISNUMBER(SEARCH("PMQ2",IM!$AC$1:$AC$7702))),0),"檢核"),"未登錄"),"")</f>
        <v/>
      </c>
      <c r="M48" s="268" t="str" cm="1">
        <f t="array" ref="M48">IF(AND(SUMPRODUCT((IM!F2:F679=A48)*(ISNUMBER(SEARCH("EDC", IM!AC2:AC679))))&gt;0), "EDC", "")</f>
        <v/>
      </c>
      <c r="N48" s="311" t="str" cm="1">
        <f t="array" ref="N48">IF(AND(SUMPRODUCT((IM!F2:F679=A48)*(ISNUMBER(SEARCH("STAR", IM!AC2:AC679))))&gt;0), "STAR", "")</f>
        <v/>
      </c>
      <c r="O48" s="302" t="str" cm="1">
        <f t="array" ref="O48">IFERROR(INDEX(IM!$X$2:$X$652, MATCH(1, (IM!$F$2:$F$652=A48) * (ISNUMBER(SEARCH($D$1, IM!$AC$2:$AC$652))), 0)), "")</f>
        <v/>
      </c>
      <c r="P48" s="196" t="str">
        <f t="shared" si="17"/>
        <v>-2759-三重仁化店(定保)</v>
      </c>
      <c r="Q48" s="144"/>
      <c r="R48" s="144"/>
      <c r="S48" s="144"/>
      <c r="T48" s="144"/>
      <c r="U48" s="305">
        <f t="shared" si="18"/>
        <v>2</v>
      </c>
      <c r="V48" s="289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4" t="s">
        <v>4048</v>
      </c>
      <c r="B49" s="185" t="s">
        <v>4049</v>
      </c>
      <c r="C49" s="186" t="str">
        <f>VLOOKUP($A49,'0919門市清單主檔'!B:V,20,FALSE)</f>
        <v>新北市</v>
      </c>
      <c r="D49" s="187" t="str">
        <f>VLOOKUP($A49,'0919門市清單主檔'!B:V,21,FALSE)</f>
        <v>新莊區</v>
      </c>
      <c r="E49" s="188" t="str">
        <f>VLOOKUP(D49,區域表!A:B,2,FALSE)</f>
        <v>湯家瑋</v>
      </c>
      <c r="F49" s="189" t="str">
        <f>IFERROR(IF(VLOOKUP(A49,門市狀態!A:D,4,FALSE)=0,"",VLOOKUP(A49,門市狀態!A:D,4,FALSE)),"")</f>
        <v/>
      </c>
      <c r="G49" s="190" t="s">
        <v>1750</v>
      </c>
      <c r="H49" s="191" t="str">
        <f t="shared" si="16"/>
        <v>-L562-田倉民安店(定保)</v>
      </c>
      <c r="I49" s="195" t="s">
        <v>1749</v>
      </c>
      <c r="J49" s="193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5" t="str" cm="1">
        <f t="array" ref="L49">IF(K49&gt;0,IFERROR(HYPERLINK("#'IM'!AC"&amp;MATCH(1,(IM!$F$1:$F$7702=A49)*(ISNUMBER(SEARCH("PMQ2",IM!$AC$1:$AC$7702))),0),"檢核"),"未登錄"),"")</f>
        <v/>
      </c>
      <c r="M49" s="268" t="str" cm="1">
        <f t="array" ref="M49">IF(AND(SUMPRODUCT((IM!F2:F680=A49)*(ISNUMBER(SEARCH("EDC", IM!AC2:AC680))))&gt;0), "EDC", "")</f>
        <v/>
      </c>
      <c r="N49" s="311" t="str" cm="1">
        <f t="array" ref="N49">IF(AND(SUMPRODUCT((IM!F2:F680=A49)*(ISNUMBER(SEARCH("STAR", IM!AC2:AC680))))&gt;0), "STAR", "")</f>
        <v/>
      </c>
      <c r="O49" s="302" t="str" cm="1">
        <f t="array" ref="O49">IFERROR(INDEX(IM!$X$2:$X$652, MATCH(1, (IM!$F$2:$F$652=A49) * (ISNUMBER(SEARCH($D$1, IM!$AC$2:$AC$652))), 0)), "")</f>
        <v/>
      </c>
      <c r="P49" s="196" t="str">
        <f t="shared" si="17"/>
        <v>-L562-田倉民安店(定保)</v>
      </c>
      <c r="Q49" s="148"/>
      <c r="R49" s="144"/>
      <c r="S49" s="144"/>
      <c r="T49" s="144"/>
      <c r="U49" s="305">
        <f t="shared" si="18"/>
        <v>0</v>
      </c>
      <c r="V49" s="289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4" t="s">
        <v>45</v>
      </c>
      <c r="B50" s="185" t="s">
        <v>642</v>
      </c>
      <c r="C50" s="186" t="str">
        <f>VLOOKUP($A50,'0919門市清單主檔'!B:V,20,FALSE)</f>
        <v>新北市</v>
      </c>
      <c r="D50" s="187" t="str">
        <f>VLOOKUP($A50,'0919門市清單主檔'!B:V,21,FALSE)</f>
        <v>新莊區</v>
      </c>
      <c r="E50" s="188" t="str">
        <f>VLOOKUP(D50,區域表!A:B,2,FALSE)</f>
        <v>湯家瑋</v>
      </c>
      <c r="F50" s="189" t="str">
        <f>IFERROR(IF(VLOOKUP(A50,門市狀態!A:D,4,FALSE)=0,"",VLOOKUP(A50,門市狀態!A:D,4,FALSE)),"")</f>
        <v/>
      </c>
      <c r="G50" s="190" t="s">
        <v>1749</v>
      </c>
      <c r="H50" s="191" t="str">
        <f t="shared" si="16"/>
        <v>-D148-新莊福營店(定保)</v>
      </c>
      <c r="I50" s="195" t="s">
        <v>1749</v>
      </c>
      <c r="J50" s="193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5" t="str" cm="1">
        <f t="array" ref="L50">IF(K50&gt;0,IFERROR(HYPERLINK("#'IM'!AC"&amp;MATCH(1,(IM!$F$1:$F$7702=A50)*(ISNUMBER(SEARCH("PMQ2",IM!$AC$1:$AC$7702))),0),"檢核"),"未登錄"),"")</f>
        <v/>
      </c>
      <c r="M50" s="268" t="str" cm="1">
        <f t="array" ref="M50">IF(AND(SUMPRODUCT((IM!F2:F681=A50)*(ISNUMBER(SEARCH("EDC", IM!AC2:AC681))))&gt;0), "EDC", "")</f>
        <v/>
      </c>
      <c r="N50" s="311" t="str" cm="1">
        <f t="array" ref="N50">IF(AND(SUMPRODUCT((IM!F2:F681=A50)*(ISNUMBER(SEARCH("STAR", IM!AC2:AC681))))&gt;0), "STAR", "")</f>
        <v/>
      </c>
      <c r="O50" s="302" t="str" cm="1">
        <f t="array" ref="O50">IFERROR(INDEX(IM!$X$2:$X$652, MATCH(1, (IM!$F$2:$F$652=A50) * (ISNUMBER(SEARCH($D$1, IM!$AC$2:$AC$652))), 0)), "")</f>
        <v/>
      </c>
      <c r="P50" s="196" t="str">
        <f t="shared" si="17"/>
        <v>-D148-新莊福營店(定保)</v>
      </c>
      <c r="Q50" s="144"/>
      <c r="R50" s="144"/>
      <c r="S50" s="144"/>
      <c r="T50" s="144"/>
      <c r="U50" s="305">
        <f t="shared" si="18"/>
        <v>2</v>
      </c>
      <c r="V50" s="289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4">
        <v>3983</v>
      </c>
      <c r="B51" s="185" t="s">
        <v>283</v>
      </c>
      <c r="C51" s="186" t="str">
        <f>VLOOKUP($A51,'0919門市清單主檔'!B:V,20,FALSE)</f>
        <v>新北市</v>
      </c>
      <c r="D51" s="187" t="str">
        <f>VLOOKUP($A51,'0919門市清單主檔'!B:V,21,FALSE)</f>
        <v>三重區</v>
      </c>
      <c r="E51" s="188" t="str">
        <f>VLOOKUP(D51,區域表!A:B,2,FALSE)</f>
        <v>吳宗鴻</v>
      </c>
      <c r="F51" s="189" t="str">
        <f>IFERROR(IF(VLOOKUP(A51,門市狀態!A:D,4,FALSE)=0,"",VLOOKUP(A51,門市狀態!A:D,4,FALSE)),"")</f>
        <v/>
      </c>
      <c r="G51" s="190" t="s">
        <v>1749</v>
      </c>
      <c r="H51" s="191" t="str">
        <f t="shared" si="16"/>
        <v>-3983-三重星光店(定保)</v>
      </c>
      <c r="I51" s="195" t="s">
        <v>1749</v>
      </c>
      <c r="J51" s="193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5" t="str" cm="1">
        <f t="array" ref="L51">IF(K51&gt;0,IFERROR(HYPERLINK("#'IM'!AC"&amp;MATCH(1,(IM!$F$1:$F$7702=A51)*(ISNUMBER(SEARCH("PMQ2",IM!$AC$1:$AC$7702))),0),"檢核"),"未登錄"),"")</f>
        <v/>
      </c>
      <c r="M51" s="268" t="str" cm="1">
        <f t="array" ref="M51">IF(AND(SUMPRODUCT((IM!F2:F682=A51)*(ISNUMBER(SEARCH("EDC", IM!AC2:AC682))))&gt;0), "EDC", "")</f>
        <v/>
      </c>
      <c r="N51" s="311" t="str" cm="1">
        <f t="array" ref="N51">IF(AND(SUMPRODUCT((IM!F2:F682=A51)*(ISNUMBER(SEARCH("STAR", IM!AC2:AC682))))&gt;0), "STAR", "")</f>
        <v/>
      </c>
      <c r="O51" s="302" t="str" cm="1">
        <f t="array" ref="O51">IFERROR(INDEX(IM!$X$2:$X$652, MATCH(1, (IM!$F$2:$F$652=A51) * (ISNUMBER(SEARCH($D$1, IM!$AC$2:$AC$652))), 0)), "")</f>
        <v/>
      </c>
      <c r="P51" s="196" t="str">
        <f t="shared" si="17"/>
        <v>-3983-三重星光店(定保)</v>
      </c>
      <c r="Q51" s="144"/>
      <c r="R51" s="144"/>
      <c r="S51" s="144"/>
      <c r="T51" s="144"/>
      <c r="U51" s="305">
        <f t="shared" si="18"/>
        <v>1</v>
      </c>
      <c r="V51" s="289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4" t="s">
        <v>40</v>
      </c>
      <c r="B52" s="185" t="s">
        <v>656</v>
      </c>
      <c r="C52" s="186" t="str">
        <f>VLOOKUP($A52,'0919門市清單主檔'!B:V,20,FALSE)</f>
        <v>新北市</v>
      </c>
      <c r="D52" s="187" t="str">
        <f>VLOOKUP($A52,'0919門市清單主檔'!B:V,21,FALSE)</f>
        <v>三重區</v>
      </c>
      <c r="E52" s="188" t="str">
        <f>VLOOKUP(D52,區域表!A:B,2,FALSE)</f>
        <v>吳宗鴻</v>
      </c>
      <c r="F52" s="189" t="str">
        <f>IFERROR(IF(VLOOKUP(A52,門市狀態!A:D,4,FALSE)=0,"",VLOOKUP(A52,門市狀態!A:D,4,FALSE)),"")</f>
        <v/>
      </c>
      <c r="G52" s="190" t="s">
        <v>1749</v>
      </c>
      <c r="H52" s="191" t="str">
        <f t="shared" si="16"/>
        <v>-D649-北縣中陽店(定保)</v>
      </c>
      <c r="I52" s="195" t="s">
        <v>1749</v>
      </c>
      <c r="J52" s="193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5" t="str" cm="1">
        <f t="array" ref="L52">IF(K52&gt;0,IFERROR(HYPERLINK("#'IM'!AC"&amp;MATCH(1,(IM!$F$1:$F$7702=A52)*(ISNUMBER(SEARCH("PMQ2",IM!$AC$1:$AC$7702))),0),"檢核"),"未登錄"),"")</f>
        <v/>
      </c>
      <c r="M52" s="268" t="str" cm="1">
        <f t="array" ref="M52">IF(AND(SUMPRODUCT((IM!F2:F683=A52)*(ISNUMBER(SEARCH("EDC", IM!AC2:AC683))))&gt;0), "EDC", "")</f>
        <v/>
      </c>
      <c r="N52" s="311" t="str" cm="1">
        <f t="array" ref="N52">IF(AND(SUMPRODUCT((IM!F2:F683=A52)*(ISNUMBER(SEARCH("STAR", IM!AC2:AC683))))&gt;0), "STAR", "")</f>
        <v/>
      </c>
      <c r="O52" s="302" t="str" cm="1">
        <f t="array" ref="O52">IFERROR(INDEX(IM!$X$2:$X$652, MATCH(1, (IM!$F$2:$F$652=A52) * (ISNUMBER(SEARCH($D$1, IM!$AC$2:$AC$652))), 0)), "")</f>
        <v/>
      </c>
      <c r="P52" s="196" t="str">
        <f t="shared" si="17"/>
        <v>-D649-北縣中陽店(定保)</v>
      </c>
      <c r="Q52" s="144"/>
      <c r="R52" s="144"/>
      <c r="S52" s="144"/>
      <c r="T52" s="144"/>
      <c r="U52" s="305">
        <f t="shared" si="18"/>
        <v>2</v>
      </c>
      <c r="V52" s="289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4">
        <v>4804</v>
      </c>
      <c r="B53" s="185" t="s">
        <v>531</v>
      </c>
      <c r="C53" s="186" t="str">
        <f>VLOOKUP($A53,'0919門市清單主檔'!B:V,20,FALSE)</f>
        <v>新北市</v>
      </c>
      <c r="D53" s="187" t="str">
        <f>VLOOKUP($A53,'0919門市清單主檔'!B:V,21,FALSE)</f>
        <v>三重區</v>
      </c>
      <c r="E53" s="188" t="str">
        <f>VLOOKUP(D53,區域表!A:B,2,FALSE)</f>
        <v>吳宗鴻</v>
      </c>
      <c r="F53" s="189" t="str">
        <f>IFERROR(IF(VLOOKUP(A53,門市狀態!A:D,4,FALSE)=0,"",VLOOKUP(A53,門市狀態!A:D,4,FALSE)),"")</f>
        <v/>
      </c>
      <c r="G53" s="190" t="s">
        <v>1749</v>
      </c>
      <c r="H53" s="191" t="str">
        <f t="shared" si="16"/>
        <v>-4804-三重國隆店(定保)</v>
      </c>
      <c r="I53" s="195" t="s">
        <v>1749</v>
      </c>
      <c r="J53" s="193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5" t="str" cm="1">
        <f t="array" ref="L53">IF(K53&gt;0,IFERROR(HYPERLINK("#'IM'!AC"&amp;MATCH(1,(IM!$F$1:$F$7702=A53)*(ISNUMBER(SEARCH("PMQ2",IM!$AC$1:$AC$7702))),0),"檢核"),"未登錄"),"")</f>
        <v/>
      </c>
      <c r="M53" s="268" t="str" cm="1">
        <f t="array" ref="M53">IF(AND(SUMPRODUCT((IM!F2:F684=A53)*(ISNUMBER(SEARCH("EDC", IM!AC2:AC684))))&gt;0), "EDC", "")</f>
        <v/>
      </c>
      <c r="N53" s="311" t="str" cm="1">
        <f t="array" ref="N53">IF(AND(SUMPRODUCT((IM!F2:F684=A53)*(ISNUMBER(SEARCH("STAR", IM!AC2:AC684))))&gt;0), "STAR", "")</f>
        <v/>
      </c>
      <c r="O53" s="302" t="str" cm="1">
        <f t="array" ref="O53">IFERROR(INDEX(IM!$X$2:$X$652, MATCH(1, (IM!$F$2:$F$652=A53) * (ISNUMBER(SEARCH($D$1, IM!$AC$2:$AC$652))), 0)), "")</f>
        <v/>
      </c>
      <c r="P53" s="196" t="str">
        <f t="shared" si="17"/>
        <v>-4804-三重國隆店(定保)</v>
      </c>
      <c r="Q53" s="144"/>
      <c r="R53" s="144"/>
      <c r="S53" s="144"/>
      <c r="T53" s="144"/>
      <c r="U53" s="305">
        <f t="shared" si="18"/>
        <v>2</v>
      </c>
      <c r="V53" s="289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4">
        <v>4184</v>
      </c>
      <c r="B54" s="185" t="s">
        <v>328</v>
      </c>
      <c r="C54" s="186" t="str">
        <f>VLOOKUP($A54,'0919門市清單主檔'!B:V,20,FALSE)</f>
        <v>新北市</v>
      </c>
      <c r="D54" s="187" t="str">
        <f>VLOOKUP($A54,'0919門市清單主檔'!B:V,21,FALSE)</f>
        <v>三重區</v>
      </c>
      <c r="E54" s="188" t="str">
        <f>VLOOKUP(D54,區域表!A:B,2,FALSE)</f>
        <v>吳宗鴻</v>
      </c>
      <c r="F54" s="189" t="str">
        <f>IFERROR(IF(VLOOKUP(A54,門市狀態!A:D,4,FALSE)=0,"",VLOOKUP(A54,門市狀態!A:D,4,FALSE)),"")</f>
        <v/>
      </c>
      <c r="G54" s="190" t="s">
        <v>1749</v>
      </c>
      <c r="H54" s="191" t="str">
        <f t="shared" si="16"/>
        <v>-4184-三重今大店(定保)</v>
      </c>
      <c r="I54" s="195" t="s">
        <v>1749</v>
      </c>
      <c r="J54" s="193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5" t="str" cm="1">
        <f t="array" ref="L54">IF(K54&gt;0,IFERROR(HYPERLINK("#'IM'!AC"&amp;MATCH(1,(IM!$F$1:$F$7702=A54)*(ISNUMBER(SEARCH("PMQ2",IM!$AC$1:$AC$7702))),0),"檢核"),"未登錄"),"")</f>
        <v/>
      </c>
      <c r="M54" s="268" t="str" cm="1">
        <f t="array" ref="M54">IF(AND(SUMPRODUCT((IM!F2:F685=A54)*(ISNUMBER(SEARCH("EDC", IM!AC2:AC685))))&gt;0), "EDC", "")</f>
        <v/>
      </c>
      <c r="N54" s="311" t="str" cm="1">
        <f t="array" ref="N54">IF(AND(SUMPRODUCT((IM!F2:F685=A54)*(ISNUMBER(SEARCH("STAR", IM!AC2:AC685))))&gt;0), "STAR", "")</f>
        <v/>
      </c>
      <c r="O54" s="302" t="str" cm="1">
        <f t="array" ref="O54">IFERROR(INDEX(IM!$X$2:$X$652, MATCH(1, (IM!$F$2:$F$652=A54) * (ISNUMBER(SEARCH($D$1, IM!$AC$2:$AC$652))), 0)), "")</f>
        <v/>
      </c>
      <c r="P54" s="196" t="str">
        <f t="shared" si="17"/>
        <v>-4184-三重今大店(定保)</v>
      </c>
      <c r="Q54" s="144"/>
      <c r="R54" s="144"/>
      <c r="S54" s="144"/>
      <c r="T54" s="144"/>
      <c r="U54" s="305">
        <f t="shared" si="18"/>
        <v>1</v>
      </c>
      <c r="V54" s="289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4">
        <v>2543</v>
      </c>
      <c r="B55" s="185" t="s">
        <v>4151</v>
      </c>
      <c r="C55" s="186" t="str">
        <f>VLOOKUP($A55,'0919門市清單主檔'!B:V,20,FALSE)</f>
        <v>新北市</v>
      </c>
      <c r="D55" s="187" t="str">
        <f>VLOOKUP($A55,'0919門市清單主檔'!B:V,21,FALSE)</f>
        <v>三重區</v>
      </c>
      <c r="E55" s="188" t="str">
        <f>VLOOKUP(D55,區域表!A:B,2,FALSE)</f>
        <v>吳宗鴻</v>
      </c>
      <c r="F55" s="189" t="str">
        <f>IFERROR(IF(VLOOKUP(A55,門市狀態!A:D,4,FALSE)=0,"",VLOOKUP(A55,門市狀態!A:D,4,FALSE)),"")</f>
        <v/>
      </c>
      <c r="G55" s="190" t="s">
        <v>1749</v>
      </c>
      <c r="H55" s="191" t="str">
        <f t="shared" si="16"/>
        <v>-2543-三重大仁店(定保)</v>
      </c>
      <c r="I55" s="195" t="s">
        <v>1749</v>
      </c>
      <c r="J55" s="193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5" t="str" cm="1">
        <f t="array" ref="L55">IF(K55&gt;0,IFERROR(HYPERLINK("#'IM'!AC"&amp;MATCH(1,(IM!$F$1:$F$7702=A55)*(ISNUMBER(SEARCH("PMQ2",IM!$AC$1:$AC$7702))),0),"檢核"),"未登錄"),"")</f>
        <v/>
      </c>
      <c r="M55" s="268" t="str" cm="1">
        <f t="array" ref="M55">IF(AND(SUMPRODUCT((IM!F2:F686=A55)*(ISNUMBER(SEARCH("EDC", IM!AC2:AC686))))&gt;0), "EDC", "")</f>
        <v/>
      </c>
      <c r="N55" s="311" t="str" cm="1">
        <f t="array" ref="N55">IF(AND(SUMPRODUCT((IM!F2:F686=A55)*(ISNUMBER(SEARCH("STAR", IM!AC2:AC686))))&gt;0), "STAR", "")</f>
        <v/>
      </c>
      <c r="O55" s="302" t="str" cm="1">
        <f t="array" ref="O55">IFERROR(INDEX(IM!$X$2:$X$652, MATCH(1, (IM!$F$2:$F$652=A55) * (ISNUMBER(SEARCH($D$1, IM!$AC$2:$AC$652))), 0)), "")</f>
        <v/>
      </c>
      <c r="P55" s="196" t="str">
        <f t="shared" si="17"/>
        <v>-2543-三重大仁店(定保)</v>
      </c>
      <c r="Q55" s="144"/>
      <c r="R55" s="144"/>
      <c r="S55" s="144"/>
      <c r="T55" s="144"/>
      <c r="U55" s="305">
        <f t="shared" si="18"/>
        <v>2</v>
      </c>
      <c r="V55" s="289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4">
        <v>2209</v>
      </c>
      <c r="B56" s="185" t="s">
        <v>76</v>
      </c>
      <c r="C56" s="186" t="str">
        <f>VLOOKUP($A56,'0919門市清單主檔'!B:V,20,FALSE)</f>
        <v>新北市</v>
      </c>
      <c r="D56" s="187" t="str">
        <f>VLOOKUP($A56,'0919門市清單主檔'!B:V,21,FALSE)</f>
        <v>三重區</v>
      </c>
      <c r="E56" s="188" t="str">
        <f>VLOOKUP(D56,區域表!A:B,2,FALSE)</f>
        <v>吳宗鴻</v>
      </c>
      <c r="F56" s="189" t="str">
        <f>IFERROR(IF(VLOOKUP(A56,門市狀態!A:D,4,FALSE)=0,"",VLOOKUP(A56,門市狀態!A:D,4,FALSE)),"")</f>
        <v/>
      </c>
      <c r="G56" s="190" t="s">
        <v>1749</v>
      </c>
      <c r="H56" s="191" t="str">
        <f t="shared" si="16"/>
        <v>-2209-北縣重強店(定保)</v>
      </c>
      <c r="I56" s="195" t="s">
        <v>1749</v>
      </c>
      <c r="J56" s="193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5" t="str" cm="1">
        <f t="array" ref="L56">IF(K56&gt;0,IFERROR(HYPERLINK("#'IM'!AC"&amp;MATCH(1,(IM!$F$1:$F$7702=A56)*(ISNUMBER(SEARCH("PMQ2",IM!$AC$1:$AC$7702))),0),"檢核"),"未登錄"),"")</f>
        <v/>
      </c>
      <c r="M56" s="268" t="str" cm="1">
        <f t="array" ref="M56">IF(AND(SUMPRODUCT((IM!F2:F687=A56)*(ISNUMBER(SEARCH("EDC", IM!AC2:AC687))))&gt;0), "EDC", "")</f>
        <v/>
      </c>
      <c r="N56" s="311" t="str" cm="1">
        <f t="array" ref="N56">IF(AND(SUMPRODUCT((IM!F2:F687=A56)*(ISNUMBER(SEARCH("STAR", IM!AC2:AC687))))&gt;0), "STAR", "")</f>
        <v/>
      </c>
      <c r="O56" s="302" t="str" cm="1">
        <f t="array" ref="O56">IFERROR(INDEX(IM!$X$2:$X$652, MATCH(1, (IM!$F$2:$F$652=A56) * (ISNUMBER(SEARCH($D$1, IM!$AC$2:$AC$652))), 0)), "")</f>
        <v/>
      </c>
      <c r="P56" s="196" t="str">
        <f t="shared" si="17"/>
        <v>-2209-北縣重強店(定保)</v>
      </c>
      <c r="Q56" s="144"/>
      <c r="R56" s="144"/>
      <c r="S56" s="144"/>
      <c r="T56" s="144"/>
      <c r="U56" s="305">
        <f t="shared" si="18"/>
        <v>1</v>
      </c>
      <c r="V56" s="289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4">
        <v>4539</v>
      </c>
      <c r="B57" s="185" t="s">
        <v>435</v>
      </c>
      <c r="C57" s="186" t="str">
        <f>VLOOKUP($A57,'0919門市清單主檔'!B:V,20,FALSE)</f>
        <v>新北市</v>
      </c>
      <c r="D57" s="187" t="str">
        <f>VLOOKUP($A57,'0919門市清單主檔'!B:V,21,FALSE)</f>
        <v>三重區</v>
      </c>
      <c r="E57" s="188" t="str">
        <f>VLOOKUP(D57,區域表!A:B,2,FALSE)</f>
        <v>吳宗鴻</v>
      </c>
      <c r="F57" s="189" t="str">
        <f>IFERROR(IF(VLOOKUP(A57,門市狀態!A:D,4,FALSE)=0,"",VLOOKUP(A57,門市狀態!A:D,4,FALSE)),"")</f>
        <v/>
      </c>
      <c r="G57" s="190" t="s">
        <v>1749</v>
      </c>
      <c r="H57" s="191" t="str">
        <f t="shared" si="16"/>
        <v>-4539-三重自信店(定保)</v>
      </c>
      <c r="I57" s="195" t="s">
        <v>1749</v>
      </c>
      <c r="J57" s="193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5" t="str" cm="1">
        <f t="array" ref="L57">IF(K57&gt;0,IFERROR(HYPERLINK("#'IM'!AC"&amp;MATCH(1,(IM!$F$1:$F$7702=A57)*(ISNUMBER(SEARCH("PMQ2",IM!$AC$1:$AC$7702))),0),"檢核"),"未登錄"),"")</f>
        <v/>
      </c>
      <c r="M57" s="268" t="str" cm="1">
        <f t="array" ref="M57">IF(AND(SUMPRODUCT((IM!F2:F688=A57)*(ISNUMBER(SEARCH("EDC", IM!AC2:AC688))))&gt;0), "EDC", "")</f>
        <v/>
      </c>
      <c r="N57" s="311" t="str" cm="1">
        <f t="array" ref="N57">IF(AND(SUMPRODUCT((IM!F2:F688=A57)*(ISNUMBER(SEARCH("STAR", IM!AC2:AC688))))&gt;0), "STAR", "")</f>
        <v/>
      </c>
      <c r="O57" s="302" t="str" cm="1">
        <f t="array" ref="O57">IFERROR(INDEX(IM!$X$2:$X$652, MATCH(1, (IM!$F$2:$F$652=A57) * (ISNUMBER(SEARCH($D$1, IM!$AC$2:$AC$652))), 0)), "")</f>
        <v/>
      </c>
      <c r="P57" s="196" t="str">
        <f t="shared" si="17"/>
        <v>-4539-三重自信店(定保)</v>
      </c>
      <c r="Q57" s="144"/>
      <c r="R57" s="144"/>
      <c r="S57" s="144"/>
      <c r="T57" s="144"/>
      <c r="U57" s="305">
        <f t="shared" si="18"/>
        <v>2</v>
      </c>
      <c r="V57" s="289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4">
        <v>4163</v>
      </c>
      <c r="B58" s="185" t="s">
        <v>322</v>
      </c>
      <c r="C58" s="186" t="str">
        <f>VLOOKUP($A58,'0919門市清單主檔'!B:V,20,FALSE)</f>
        <v>新北市</v>
      </c>
      <c r="D58" s="187" t="str">
        <f>VLOOKUP($A58,'0919門市清單主檔'!B:V,21,FALSE)</f>
        <v>新莊區</v>
      </c>
      <c r="E58" s="188" t="str">
        <f>VLOOKUP(D58,區域表!A:B,2,FALSE)</f>
        <v>湯家瑋</v>
      </c>
      <c r="F58" s="189" t="str">
        <f>IFERROR(IF(VLOOKUP(A58,門市狀態!A:D,4,FALSE)=0,"",VLOOKUP(A58,門市狀態!A:D,4,FALSE)),"")</f>
        <v/>
      </c>
      <c r="G58" s="190" t="s">
        <v>1749</v>
      </c>
      <c r="H58" s="191" t="str">
        <f t="shared" si="16"/>
        <v>-4163-新莊中泉店(定保)</v>
      </c>
      <c r="I58" s="195" t="s">
        <v>1749</v>
      </c>
      <c r="J58" s="193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5" t="str" cm="1">
        <f t="array" ref="L58">IF(K58&gt;0,IFERROR(HYPERLINK("#'IM'!AC"&amp;MATCH(1,(IM!$F$1:$F$7702=A58)*(ISNUMBER(SEARCH("PMQ2",IM!$AC$1:$AC$7702))),0),"檢核"),"未登錄"),"")</f>
        <v/>
      </c>
      <c r="M58" s="268" t="str" cm="1">
        <f t="array" ref="M58">IF(AND(SUMPRODUCT((IM!F2:F689=A58)*(ISNUMBER(SEARCH("EDC", IM!AC2:AC689))))&gt;0), "EDC", "")</f>
        <v/>
      </c>
      <c r="N58" s="311" t="str" cm="1">
        <f t="array" ref="N58">IF(AND(SUMPRODUCT((IM!F2:F689=A58)*(ISNUMBER(SEARCH("STAR", IM!AC2:AC689))))&gt;0), "STAR", "")</f>
        <v/>
      </c>
      <c r="O58" s="302" t="str" cm="1">
        <f t="array" ref="O58">IFERROR(INDEX(IM!$X$2:$X$652, MATCH(1, (IM!$F$2:$F$652=A58) * (ISNUMBER(SEARCH($D$1, IM!$AC$2:$AC$652))), 0)), "")</f>
        <v/>
      </c>
      <c r="P58" s="196" t="str">
        <f t="shared" si="17"/>
        <v>-4163-新莊中泉店(定保)</v>
      </c>
      <c r="Q58" s="144"/>
      <c r="R58" s="144"/>
      <c r="S58" s="144"/>
      <c r="T58" s="144"/>
      <c r="U58" s="305">
        <f t="shared" si="18"/>
        <v>2</v>
      </c>
      <c r="V58" s="289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4" t="s">
        <v>19</v>
      </c>
      <c r="B59" s="185" t="s">
        <v>636</v>
      </c>
      <c r="C59" s="186" t="str">
        <f>VLOOKUP($A59,'0919門市清單主檔'!B:V,20,FALSE)</f>
        <v>新北市</v>
      </c>
      <c r="D59" s="187" t="str">
        <f>VLOOKUP($A59,'0919門市清單主檔'!B:V,21,FALSE)</f>
        <v>三重區</v>
      </c>
      <c r="E59" s="188" t="str">
        <f>VLOOKUP(D59,區域表!A:B,2,FALSE)</f>
        <v>吳宗鴻</v>
      </c>
      <c r="F59" s="189" t="str">
        <f>IFERROR(IF(VLOOKUP(A59,門市狀態!A:D,4,FALSE)=0,"",VLOOKUP(A59,門市狀態!A:D,4,FALSE)),"")</f>
        <v/>
      </c>
      <c r="G59" s="190" t="s">
        <v>1749</v>
      </c>
      <c r="H59" s="191" t="str">
        <f t="shared" si="16"/>
        <v>-D024-三重三民店(定保)</v>
      </c>
      <c r="I59" s="195" t="s">
        <v>1749</v>
      </c>
      <c r="J59" s="193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5" t="str" cm="1">
        <f t="array" ref="L59">IF(K59&gt;0,IFERROR(HYPERLINK("#'IM'!AC"&amp;MATCH(1,(IM!$F$1:$F$7702=A59)*(ISNUMBER(SEARCH("PMQ2",IM!$AC$1:$AC$7702))),0),"檢核"),"未登錄"),"")</f>
        <v/>
      </c>
      <c r="M59" s="268" t="str" cm="1">
        <f t="array" ref="M59">IF(AND(SUMPRODUCT((IM!F2:F690=A59)*(ISNUMBER(SEARCH("EDC", IM!AC2:AC690))))&gt;0), "EDC", "")</f>
        <v/>
      </c>
      <c r="N59" s="311" t="str" cm="1">
        <f t="array" ref="N59">IF(AND(SUMPRODUCT((IM!F2:F690=A59)*(ISNUMBER(SEARCH("STAR", IM!AC2:AC690))))&gt;0), "STAR", "")</f>
        <v/>
      </c>
      <c r="O59" s="302" t="str" cm="1">
        <f t="array" ref="O59">IFERROR(INDEX(IM!$X$2:$X$652, MATCH(1, (IM!$F$2:$F$652=A59) * (ISNUMBER(SEARCH($D$1, IM!$AC$2:$AC$652))), 0)), "")</f>
        <v/>
      </c>
      <c r="P59" s="196" t="str">
        <f t="shared" si="17"/>
        <v>-D024-三重三民店(定保)</v>
      </c>
      <c r="Q59" s="144"/>
      <c r="R59" s="144"/>
      <c r="S59" s="144"/>
      <c r="T59" s="144"/>
      <c r="U59" s="305">
        <f t="shared" si="18"/>
        <v>2</v>
      </c>
      <c r="V59" s="289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4">
        <v>3676</v>
      </c>
      <c r="B60" s="185" t="s">
        <v>4102</v>
      </c>
      <c r="C60" s="186" t="str">
        <f>VLOOKUP($A60,'0919門市清單主檔'!B:V,20,FALSE)</f>
        <v>新北市</v>
      </c>
      <c r="D60" s="187" t="str">
        <f>VLOOKUP($A60,'0919門市清單主檔'!B:V,21,FALSE)</f>
        <v>三重區</v>
      </c>
      <c r="E60" s="188" t="str">
        <f>VLOOKUP(D60,區域表!A:B,2,FALSE)</f>
        <v>吳宗鴻</v>
      </c>
      <c r="F60" s="189" t="str">
        <f>IFERROR(IF(VLOOKUP(A60,門市狀態!A:D,4,FALSE)=0,"",VLOOKUP(A60,門市狀態!A:D,4,FALSE)),"")</f>
        <v/>
      </c>
      <c r="G60" s="190" t="s">
        <v>1749</v>
      </c>
      <c r="H60" s="191" t="str">
        <f t="shared" si="16"/>
        <v>-3676-三重田心店(定保)</v>
      </c>
      <c r="I60" s="195" t="s">
        <v>1749</v>
      </c>
      <c r="J60" s="193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5" t="str" cm="1">
        <f t="array" ref="L60">IF(K60&gt;0,IFERROR(HYPERLINK("#'IM'!AC"&amp;MATCH(1,(IM!$F$1:$F$7702=A60)*(ISNUMBER(SEARCH("PMQ2",IM!$AC$1:$AC$7702))),0),"檢核"),"未登錄"),"")</f>
        <v/>
      </c>
      <c r="M60" s="268" t="str" cm="1">
        <f t="array" ref="M60">IF(AND(SUMPRODUCT((IM!F2:F691=A60)*(ISNUMBER(SEARCH("EDC", IM!AC2:AC691))))&gt;0), "EDC", "")</f>
        <v/>
      </c>
      <c r="N60" s="311" t="str" cm="1">
        <f t="array" ref="N60">IF(AND(SUMPRODUCT((IM!F2:F691=A60)*(ISNUMBER(SEARCH("STAR", IM!AC2:AC691))))&gt;0), "STAR", "")</f>
        <v/>
      </c>
      <c r="O60" s="302" t="str" cm="1">
        <f t="array" ref="O60">IFERROR(INDEX(IM!$X$2:$X$652, MATCH(1, (IM!$F$2:$F$652=A60) * (ISNUMBER(SEARCH($D$1, IM!$AC$2:$AC$652))), 0)), "")</f>
        <v/>
      </c>
      <c r="P60" s="196" t="str">
        <f t="shared" si="17"/>
        <v>-3676-三重田心店(定保)</v>
      </c>
      <c r="Q60" s="144"/>
      <c r="R60" s="144"/>
      <c r="S60" s="144"/>
      <c r="T60" s="144"/>
      <c r="U60" s="305">
        <f t="shared" si="18"/>
        <v>2</v>
      </c>
      <c r="V60" s="289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4">
        <v>4586</v>
      </c>
      <c r="B61" s="185" t="s">
        <v>450</v>
      </c>
      <c r="C61" s="186" t="str">
        <f>VLOOKUP($A61,'0919門市清單主檔'!B:V,20,FALSE)</f>
        <v>新北市</v>
      </c>
      <c r="D61" s="187" t="str">
        <f>VLOOKUP($A61,'0919門市清單主檔'!B:V,21,FALSE)</f>
        <v>三重區</v>
      </c>
      <c r="E61" s="188" t="str">
        <f>VLOOKUP(D61,區域表!A:B,2,FALSE)</f>
        <v>吳宗鴻</v>
      </c>
      <c r="F61" s="189" t="str">
        <f>IFERROR(IF(VLOOKUP(A61,門市狀態!A:D,4,FALSE)=0,"",VLOOKUP(A61,門市狀態!A:D,4,FALSE)),"")</f>
        <v/>
      </c>
      <c r="G61" s="190" t="s">
        <v>1749</v>
      </c>
      <c r="H61" s="191" t="str">
        <f t="shared" si="16"/>
        <v>-4586-三重三文店(定保)</v>
      </c>
      <c r="I61" s="195" t="s">
        <v>1749</v>
      </c>
      <c r="J61" s="193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5" t="str" cm="1">
        <f t="array" ref="L61">IF(K61&gt;0,IFERROR(HYPERLINK("#'IM'!AC"&amp;MATCH(1,(IM!$F$1:$F$7702=A61)*(ISNUMBER(SEARCH("PMQ2",IM!$AC$1:$AC$7702))),0),"檢核"),"未登錄"),"")</f>
        <v/>
      </c>
      <c r="M61" s="268" t="str" cm="1">
        <f t="array" ref="M61">IF(AND(SUMPRODUCT((IM!F2:F692=A61)*(ISNUMBER(SEARCH("EDC", IM!AC2:AC692))))&gt;0), "EDC", "")</f>
        <v/>
      </c>
      <c r="N61" s="311" t="str" cm="1">
        <f t="array" ref="N61">IF(AND(SUMPRODUCT((IM!F2:F692=A61)*(ISNUMBER(SEARCH("STAR", IM!AC2:AC692))))&gt;0), "STAR", "")</f>
        <v/>
      </c>
      <c r="O61" s="302" t="str" cm="1">
        <f t="array" ref="O61">IFERROR(INDEX(IM!$X$2:$X$652, MATCH(1, (IM!$F$2:$F$652=A61) * (ISNUMBER(SEARCH($D$1, IM!$AC$2:$AC$652))), 0)), "")</f>
        <v/>
      </c>
      <c r="P61" s="196" t="str">
        <f t="shared" si="17"/>
        <v>-4586-三重三文店(定保)</v>
      </c>
      <c r="Q61" s="144"/>
      <c r="R61" s="144"/>
      <c r="S61" s="144"/>
      <c r="T61" s="144"/>
      <c r="U61" s="305">
        <f t="shared" si="18"/>
        <v>0</v>
      </c>
      <c r="V61" s="289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4">
        <v>4312</v>
      </c>
      <c r="B62" s="185" t="s">
        <v>364</v>
      </c>
      <c r="C62" s="186" t="str">
        <f>VLOOKUP($A62,'0919門市清單主檔'!B:V,20,FALSE)</f>
        <v>新北市</v>
      </c>
      <c r="D62" s="187" t="str">
        <f>VLOOKUP($A62,'0919門市清單主檔'!B:V,21,FALSE)</f>
        <v>三重區</v>
      </c>
      <c r="E62" s="188" t="str">
        <f>VLOOKUP(D62,區域表!A:B,2,FALSE)</f>
        <v>吳宗鴻</v>
      </c>
      <c r="F62" s="189" t="str">
        <f>IFERROR(IF(VLOOKUP(A62,門市狀態!A:D,4,FALSE)=0,"",VLOOKUP(A62,門市狀態!A:D,4,FALSE)),"")</f>
        <v/>
      </c>
      <c r="G62" s="190" t="s">
        <v>1749</v>
      </c>
      <c r="H62" s="191" t="str">
        <f t="shared" si="16"/>
        <v>-4312-三重文化北(定保)</v>
      </c>
      <c r="I62" s="195" t="s">
        <v>1749</v>
      </c>
      <c r="J62" s="193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5" t="str" cm="1">
        <f t="array" ref="L62">IF(K62&gt;0,IFERROR(HYPERLINK("#'IM'!AC"&amp;MATCH(1,(IM!$F$1:$F$7702=A62)*(ISNUMBER(SEARCH("PMQ2",IM!$AC$1:$AC$7702))),0),"檢核"),"未登錄"),"")</f>
        <v/>
      </c>
      <c r="M62" s="268" t="str" cm="1">
        <f t="array" ref="M62">IF(AND(SUMPRODUCT((IM!F2:F693=A62)*(ISNUMBER(SEARCH("EDC", IM!AC2:AC693))))&gt;0), "EDC", "")</f>
        <v/>
      </c>
      <c r="N62" s="311" t="str" cm="1">
        <f t="array" ref="N62">IF(AND(SUMPRODUCT((IM!F2:F693=A62)*(ISNUMBER(SEARCH("STAR", IM!AC2:AC693))))&gt;0), "STAR", "")</f>
        <v/>
      </c>
      <c r="O62" s="302" t="str" cm="1">
        <f t="array" ref="O62">IFERROR(INDEX(IM!$X$2:$X$652, MATCH(1, (IM!$F$2:$F$652=A62) * (ISNUMBER(SEARCH($D$1, IM!$AC$2:$AC$652))), 0)), "")</f>
        <v/>
      </c>
      <c r="P62" s="196" t="str">
        <f t="shared" si="17"/>
        <v>-4312-三重文化北(定保)</v>
      </c>
      <c r="Q62" s="144"/>
      <c r="R62" s="144"/>
      <c r="S62" s="144"/>
      <c r="T62" s="144"/>
      <c r="U62" s="305">
        <f t="shared" si="18"/>
        <v>2</v>
      </c>
      <c r="V62" s="289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4">
        <v>2619</v>
      </c>
      <c r="B63" s="185" t="s">
        <v>1516</v>
      </c>
      <c r="C63" s="186" t="str">
        <f>VLOOKUP($A63,'0919門市清單主檔'!B:V,20,FALSE)</f>
        <v>新北市</v>
      </c>
      <c r="D63" s="187" t="str">
        <f>VLOOKUP($A63,'0919門市清單主檔'!B:V,21,FALSE)</f>
        <v>三重區</v>
      </c>
      <c r="E63" s="188" t="str">
        <f>VLOOKUP(D63,區域表!A:B,2,FALSE)</f>
        <v>吳宗鴻</v>
      </c>
      <c r="F63" s="189" t="str">
        <f>IFERROR(IF(VLOOKUP(A63,門市狀態!A:D,4,FALSE)=0,"",VLOOKUP(A63,門市狀態!A:D,4,FALSE)),"")</f>
        <v/>
      </c>
      <c r="G63" s="190" t="s">
        <v>1749</v>
      </c>
      <c r="H63" s="191" t="str">
        <f t="shared" si="16"/>
        <v>-2619-三重大榮店(定保)</v>
      </c>
      <c r="I63" s="195" t="s">
        <v>1749</v>
      </c>
      <c r="J63" s="193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5" t="str" cm="1">
        <f t="array" ref="L63">IF(K63&gt;0,IFERROR(HYPERLINK("#'IM'!AC"&amp;MATCH(1,(IM!$F$1:$F$7702=A63)*(ISNUMBER(SEARCH("PMQ2",IM!$AC$1:$AC$7702))),0),"檢核"),"未登錄"),"")</f>
        <v/>
      </c>
      <c r="M63" s="268" t="str" cm="1">
        <f t="array" ref="M63">IF(AND(SUMPRODUCT((IM!F2:F694=A63)*(ISNUMBER(SEARCH("EDC", IM!AC2:AC694))))&gt;0), "EDC", "")</f>
        <v/>
      </c>
      <c r="N63" s="311" t="str" cm="1">
        <f t="array" ref="N63">IF(AND(SUMPRODUCT((IM!F2:F694=A63)*(ISNUMBER(SEARCH("STAR", IM!AC2:AC694))))&gt;0), "STAR", "")</f>
        <v/>
      </c>
      <c r="O63" s="302" t="str" cm="1">
        <f t="array" ref="O63">IFERROR(INDEX(IM!$X$2:$X$652, MATCH(1, (IM!$F$2:$F$652=A63) * (ISNUMBER(SEARCH($D$1, IM!$AC$2:$AC$652))), 0)), "")</f>
        <v/>
      </c>
      <c r="P63" s="196" t="str">
        <f t="shared" si="17"/>
        <v>-2619-三重大榮店(定保)</v>
      </c>
      <c r="Q63" s="144"/>
      <c r="R63" s="144"/>
      <c r="S63" s="144"/>
      <c r="T63" s="144"/>
      <c r="U63" s="305">
        <f t="shared" si="18"/>
        <v>2</v>
      </c>
      <c r="V63" s="289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4">
        <v>2691</v>
      </c>
      <c r="B64" s="185" t="s">
        <v>4117</v>
      </c>
      <c r="C64" s="186" t="str">
        <f>VLOOKUP($A64,'0919門市清單主檔'!B:V,20,FALSE)</f>
        <v>新北市</v>
      </c>
      <c r="D64" s="187" t="str">
        <f>VLOOKUP($A64,'0919門市清單主檔'!B:V,21,FALSE)</f>
        <v>五股區</v>
      </c>
      <c r="E64" s="188" t="str">
        <f>VLOOKUP(D64,區域表!A:B,2,FALSE)</f>
        <v>湯家瑋</v>
      </c>
      <c r="F64" s="189" t="str">
        <f>IFERROR(IF(VLOOKUP(A64,門市狀態!A:D,4,FALSE)=0,"",VLOOKUP(A64,門市狀態!A:D,4,FALSE)),"")</f>
        <v/>
      </c>
      <c r="G64" s="190" t="s">
        <v>1749</v>
      </c>
      <c r="H64" s="191" t="str">
        <f t="shared" si="16"/>
        <v>-2691-五股興珍店(定保)</v>
      </c>
      <c r="I64" s="195" t="s">
        <v>1749</v>
      </c>
      <c r="J64" s="193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5" t="str" cm="1">
        <f t="array" ref="L64">IF(K64&gt;0,IFERROR(HYPERLINK("#'IM'!AC"&amp;MATCH(1,(IM!$F$1:$F$7702=A64)*(ISNUMBER(SEARCH("PMQ2",IM!$AC$1:$AC$7702))),0),"檢核"),"未登錄"),"")</f>
        <v/>
      </c>
      <c r="M64" s="268" t="str" cm="1">
        <f t="array" ref="M64">IF(AND(SUMPRODUCT((IM!F2:F696=A64)*(ISNUMBER(SEARCH("EDC", IM!AC2:AC696))))&gt;0), "EDC", "")</f>
        <v/>
      </c>
      <c r="N64" s="311" t="str" cm="1">
        <f t="array" ref="N64">IF(AND(SUMPRODUCT((IM!F2:F696=A64)*(ISNUMBER(SEARCH("STAR", IM!AC2:AC696))))&gt;0), "STAR", "")</f>
        <v/>
      </c>
      <c r="O64" s="302" t="str" cm="1">
        <f t="array" ref="O64">IFERROR(INDEX(IM!$X$2:$X$652, MATCH(1, (IM!$F$2:$F$652=A64) * (ISNUMBER(SEARCH($D$1, IM!$AC$2:$AC$652))), 0)), "")</f>
        <v/>
      </c>
      <c r="P64" s="196" t="str">
        <f t="shared" si="17"/>
        <v>-2691-五股興珍店(定保)</v>
      </c>
      <c r="Q64" s="144"/>
      <c r="R64" s="144"/>
      <c r="S64" s="144"/>
      <c r="T64" s="144"/>
      <c r="U64" s="305">
        <f t="shared" si="18"/>
        <v>2</v>
      </c>
      <c r="V64" s="289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4">
        <v>2390</v>
      </c>
      <c r="B65" s="185" t="s">
        <v>4105</v>
      </c>
      <c r="C65" s="186" t="str">
        <f>VLOOKUP($A65,'0919門市清單主檔'!B:V,20,FALSE)</f>
        <v>新北市</v>
      </c>
      <c r="D65" s="187" t="str">
        <f>VLOOKUP($A65,'0919門市清單主檔'!B:V,21,FALSE)</f>
        <v>五股區</v>
      </c>
      <c r="E65" s="188" t="str">
        <f>VLOOKUP(D65,區域表!A:B,2,FALSE)</f>
        <v>湯家瑋</v>
      </c>
      <c r="F65" s="189" t="str">
        <f>IFERROR(IF(VLOOKUP(A65,門市狀態!A:D,4,FALSE)=0,"",VLOOKUP(A65,門市狀態!A:D,4,FALSE)),"")</f>
        <v/>
      </c>
      <c r="G65" s="190" t="s">
        <v>1749</v>
      </c>
      <c r="H65" s="191" t="str">
        <f t="shared" si="16"/>
        <v>-2390-五股產業園區(定保)</v>
      </c>
      <c r="I65" s="195" t="s">
        <v>1749</v>
      </c>
      <c r="J65" s="193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5" t="str" cm="1">
        <f t="array" ref="L65">IF(K65&gt;0,IFERROR(HYPERLINK("#'IM'!AC"&amp;MATCH(1,(IM!$F$1:$F$7702=A65)*(ISNUMBER(SEARCH("PMQ2",IM!$AC$1:$AC$7702))),0),"檢核"),"未登錄"),"")</f>
        <v/>
      </c>
      <c r="M65" s="268" t="str" cm="1">
        <f t="array" ref="M65">IF(AND(SUMPRODUCT((IM!F2:F697=A65)*(ISNUMBER(SEARCH("EDC", IM!AC2:AC697))))&gt;0), "EDC", "")</f>
        <v/>
      </c>
      <c r="N65" s="311" t="str" cm="1">
        <f t="array" ref="N65">IF(AND(SUMPRODUCT((IM!F2:F697=A65)*(ISNUMBER(SEARCH("STAR", IM!AC2:AC697))))&gt;0), "STAR", "")</f>
        <v/>
      </c>
      <c r="O65" s="302" t="str" cm="1">
        <f t="array" ref="O65">IFERROR(INDEX(IM!$X$2:$X$652, MATCH(1, (IM!$F$2:$F$652=A65) * (ISNUMBER(SEARCH($D$1, IM!$AC$2:$AC$652))), 0)), "")</f>
        <v/>
      </c>
      <c r="P65" s="196" t="str">
        <f t="shared" si="17"/>
        <v>-2390-五股產業園區(定保)</v>
      </c>
      <c r="Q65" s="144"/>
      <c r="R65" s="144"/>
      <c r="S65" s="144"/>
      <c r="T65" s="144"/>
      <c r="U65" s="305">
        <f t="shared" si="18"/>
        <v>1</v>
      </c>
      <c r="V65" s="289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4">
        <v>4819</v>
      </c>
      <c r="B66" s="185" t="s">
        <v>534</v>
      </c>
      <c r="C66" s="186" t="str">
        <f>VLOOKUP($A66,'0919門市清單主檔'!B:V,20,FALSE)</f>
        <v>新北市</v>
      </c>
      <c r="D66" s="187" t="str">
        <f>VLOOKUP($A66,'0919門市清單主檔'!B:V,21,FALSE)</f>
        <v>五股區</v>
      </c>
      <c r="E66" s="188" t="str">
        <f>VLOOKUP(D66,區域表!A:B,2,FALSE)</f>
        <v>湯家瑋</v>
      </c>
      <c r="F66" s="189" t="str">
        <f>IFERROR(IF(VLOOKUP(A66,門市狀態!A:D,4,FALSE)=0,"",VLOOKUP(A66,門市狀態!A:D,4,FALSE)),"")</f>
        <v/>
      </c>
      <c r="G66" s="190" t="s">
        <v>1749</v>
      </c>
      <c r="H66" s="191" t="str">
        <f t="shared" si="16"/>
        <v>-4819-五股凌雲店(定保)</v>
      </c>
      <c r="I66" s="195" t="s">
        <v>1749</v>
      </c>
      <c r="J66" s="193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5" t="str" cm="1">
        <f t="array" ref="L66">IF(K66&gt;0,IFERROR(HYPERLINK("#'IM'!AC"&amp;MATCH(1,(IM!$F$1:$F$7702=A66)*(ISNUMBER(SEARCH("PMQ2",IM!$AC$1:$AC$7702))),0),"檢核"),"未登錄"),"")</f>
        <v/>
      </c>
      <c r="M66" s="268" t="str" cm="1">
        <f t="array" ref="M66">IF(AND(SUMPRODUCT((IM!F2:F698=A66)*(ISNUMBER(SEARCH("EDC", IM!AC2:AC698))))&gt;0), "EDC", "")</f>
        <v/>
      </c>
      <c r="N66" s="311" t="str" cm="1">
        <f t="array" ref="N66">IF(AND(SUMPRODUCT((IM!F2:F698=A66)*(ISNUMBER(SEARCH("STAR", IM!AC2:AC698))))&gt;0), "STAR", "")</f>
        <v/>
      </c>
      <c r="O66" s="302" t="str" cm="1">
        <f t="array" ref="O66">IFERROR(INDEX(IM!$X$2:$X$652, MATCH(1, (IM!$F$2:$F$652=A66) * (ISNUMBER(SEARCH($D$1, IM!$AC$2:$AC$652))), 0)), "")</f>
        <v/>
      </c>
      <c r="P66" s="196" t="str">
        <f t="shared" si="17"/>
        <v>-4819-五股凌雲店(定保)</v>
      </c>
      <c r="Q66" s="144"/>
      <c r="R66" s="144"/>
      <c r="S66" s="144"/>
      <c r="T66" s="144"/>
      <c r="U66" s="305">
        <f t="shared" si="18"/>
        <v>2</v>
      </c>
      <c r="V66" s="289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4">
        <v>4801</v>
      </c>
      <c r="B67" s="185" t="s">
        <v>528</v>
      </c>
      <c r="C67" s="186" t="str">
        <f>VLOOKUP($A67,'0919門市清單主檔'!B:V,20,FALSE)</f>
        <v>新北市</v>
      </c>
      <c r="D67" s="187" t="str">
        <f>VLOOKUP($A67,'0919門市清單主檔'!B:V,21,FALSE)</f>
        <v>五股區</v>
      </c>
      <c r="E67" s="188" t="str">
        <f>VLOOKUP(D67,區域表!A:B,2,FALSE)</f>
        <v>湯家瑋</v>
      </c>
      <c r="F67" s="189" t="str">
        <f>IFERROR(IF(VLOOKUP(A67,門市狀態!A:D,4,FALSE)=0,"",VLOOKUP(A67,門市狀態!A:D,4,FALSE)),"")</f>
        <v/>
      </c>
      <c r="G67" s="190" t="s">
        <v>1749</v>
      </c>
      <c r="H67" s="191" t="str">
        <f t="shared" si="16"/>
        <v>-4801-五股成州店(定保)</v>
      </c>
      <c r="I67" s="195" t="s">
        <v>1749</v>
      </c>
      <c r="J67" s="193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5" t="str" cm="1">
        <f t="array" ref="L67">IF(K67&gt;0,IFERROR(HYPERLINK("#'IM'!AC"&amp;MATCH(1,(IM!$F$1:$F$7702=A67)*(ISNUMBER(SEARCH("PMQ2",IM!$AC$1:$AC$7702))),0),"檢核"),"未登錄"),"")</f>
        <v/>
      </c>
      <c r="M67" s="268" t="str" cm="1">
        <f t="array" ref="M67">IF(AND(SUMPRODUCT((IM!F2:F699=A67)*(ISNUMBER(SEARCH("EDC", IM!AC2:AC699))))&gt;0), "EDC", "")</f>
        <v/>
      </c>
      <c r="N67" s="311" t="str" cm="1">
        <f t="array" ref="N67">IF(AND(SUMPRODUCT((IM!F2:F699=A67)*(ISNUMBER(SEARCH("STAR", IM!AC2:AC699))))&gt;0), "STAR", "")</f>
        <v/>
      </c>
      <c r="O67" s="302" t="str" cm="1">
        <f t="array" ref="O67">IFERROR(INDEX(IM!$X$2:$X$652, MATCH(1, (IM!$F$2:$F$652=A67) * (ISNUMBER(SEARCH($D$1, IM!$AC$2:$AC$652))), 0)), "")</f>
        <v/>
      </c>
      <c r="P67" s="196" t="str">
        <f t="shared" si="17"/>
        <v>-4801-五股成州店(定保)</v>
      </c>
      <c r="Q67" s="144"/>
      <c r="R67" s="144"/>
      <c r="S67" s="144"/>
      <c r="T67" s="144"/>
      <c r="U67" s="305">
        <f t="shared" si="18"/>
        <v>2</v>
      </c>
      <c r="V67" s="289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4">
        <v>4397</v>
      </c>
      <c r="B68" s="185" t="s">
        <v>389</v>
      </c>
      <c r="C68" s="186" t="str">
        <f>VLOOKUP($A68,'0919門市清單主檔'!B:V,20,FALSE)</f>
        <v>新北市</v>
      </c>
      <c r="D68" s="187" t="str">
        <f>VLOOKUP($A68,'0919門市清單主檔'!B:V,21,FALSE)</f>
        <v>三重區</v>
      </c>
      <c r="E68" s="188" t="str">
        <f>VLOOKUP(D68,區域表!A:B,2,FALSE)</f>
        <v>吳宗鴻</v>
      </c>
      <c r="F68" s="189" t="str">
        <f>IFERROR(IF(VLOOKUP(A68,門市狀態!A:D,4,FALSE)=0,"",VLOOKUP(A68,門市狀態!A:D,4,FALSE)),"")</f>
        <v/>
      </c>
      <c r="G68" s="190" t="s">
        <v>1749</v>
      </c>
      <c r="H68" s="191" t="str">
        <f t="shared" si="16"/>
        <v>-4397-三重仁旺店(定保)</v>
      </c>
      <c r="I68" s="195" t="s">
        <v>1749</v>
      </c>
      <c r="J68" s="193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5" t="str" cm="1">
        <f t="array" ref="L68">IF(K68&gt;0,IFERROR(HYPERLINK("#'IM'!AC"&amp;MATCH(1,(IM!$F$1:$F$7702=A68)*(ISNUMBER(SEARCH("PMQ2",IM!$AC$1:$AC$7702))),0),"檢核"),"未登錄"),"")</f>
        <v/>
      </c>
      <c r="M68" s="268" t="str" cm="1">
        <f t="array" ref="M68">IF(AND(SUMPRODUCT((IM!F2:F700=A68)*(ISNUMBER(SEARCH("EDC", IM!AC2:AC700))))&gt;0), "EDC", "")</f>
        <v/>
      </c>
      <c r="N68" s="311" t="str" cm="1">
        <f t="array" ref="N68">IF(AND(SUMPRODUCT((IM!F2:F700=A68)*(ISNUMBER(SEARCH("STAR", IM!AC2:AC700))))&gt;0), "STAR", "")</f>
        <v/>
      </c>
      <c r="O68" s="302" t="str" cm="1">
        <f t="array" ref="O68">IFERROR(INDEX(IM!$X$2:$X$652, MATCH(1, (IM!$F$2:$F$652=A68) * (ISNUMBER(SEARCH($D$1, IM!$AC$2:$AC$652))), 0)), "")</f>
        <v/>
      </c>
      <c r="P68" s="196" t="str">
        <f t="shared" si="17"/>
        <v>-4397-三重仁旺店(定保)</v>
      </c>
      <c r="Q68" s="144"/>
      <c r="R68" s="144"/>
      <c r="S68" s="144"/>
      <c r="T68" s="144"/>
      <c r="U68" s="305">
        <f t="shared" si="18"/>
        <v>2</v>
      </c>
      <c r="V68" s="289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4">
        <v>3770</v>
      </c>
      <c r="B69" s="185" t="s">
        <v>239</v>
      </c>
      <c r="C69" s="186" t="str">
        <f>VLOOKUP($A69,'0919門市清單主檔'!B:V,20,FALSE)</f>
        <v>新北市</v>
      </c>
      <c r="D69" s="187" t="str">
        <f>VLOOKUP($A69,'0919門市清單主檔'!B:V,21,FALSE)</f>
        <v>五股區</v>
      </c>
      <c r="E69" s="188" t="str">
        <f>VLOOKUP(D69,區域表!A:B,2,FALSE)</f>
        <v>湯家瑋</v>
      </c>
      <c r="F69" s="189" t="str">
        <f>IFERROR(IF(VLOOKUP(A69,門市狀態!A:D,4,FALSE)=0,"",VLOOKUP(A69,門市狀態!A:D,4,FALSE)),"")</f>
        <v/>
      </c>
      <c r="G69" s="190" t="s">
        <v>1749</v>
      </c>
      <c r="H69" s="191" t="str">
        <f t="shared" si="16"/>
        <v>-3770-北縣西雲店(定保)</v>
      </c>
      <c r="I69" s="195" t="s">
        <v>1749</v>
      </c>
      <c r="J69" s="193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5" t="str" cm="1">
        <f t="array" ref="L69">IF(K69&gt;0,IFERROR(HYPERLINK("#'IM'!AC"&amp;MATCH(1,(IM!$F$1:$F$7702=A69)*(ISNUMBER(SEARCH("PMQ2",IM!$AC$1:$AC$7702))),0),"檢核"),"未登錄"),"")</f>
        <v/>
      </c>
      <c r="M69" s="268" t="str" cm="1">
        <f t="array" ref="M69">IF(AND(SUMPRODUCT((IM!F2:F701=A69)*(ISNUMBER(SEARCH("EDC", IM!AC2:AC701))))&gt;0), "EDC", "")</f>
        <v/>
      </c>
      <c r="N69" s="311" t="str" cm="1">
        <f t="array" ref="N69">IF(AND(SUMPRODUCT((IM!F2:F701=A69)*(ISNUMBER(SEARCH("STAR", IM!AC2:AC701))))&gt;0), "STAR", "")</f>
        <v/>
      </c>
      <c r="O69" s="302" t="str" cm="1">
        <f t="array" ref="O69">IFERROR(INDEX(IM!$X$2:$X$652, MATCH(1, (IM!$F$2:$F$652=A69) * (ISNUMBER(SEARCH($D$1, IM!$AC$2:$AC$652))), 0)), "")</f>
        <v/>
      </c>
      <c r="P69" s="196" t="str">
        <f t="shared" si="17"/>
        <v>-3770-北縣西雲店(定保)</v>
      </c>
      <c r="Q69" s="144"/>
      <c r="R69" s="144"/>
      <c r="S69" s="144"/>
      <c r="T69" s="144"/>
      <c r="U69" s="305">
        <f t="shared" si="18"/>
        <v>1</v>
      </c>
      <c r="V69" s="289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4">
        <v>2325</v>
      </c>
      <c r="B70" s="185" t="s">
        <v>94</v>
      </c>
      <c r="C70" s="186" t="str">
        <f>VLOOKUP($A70,'0919門市清單主檔'!B:V,20,FALSE)</f>
        <v>新北市</v>
      </c>
      <c r="D70" s="187" t="str">
        <f>VLOOKUP($A70,'0919門市清單主檔'!B:V,21,FALSE)</f>
        <v>五股區</v>
      </c>
      <c r="E70" s="188" t="str">
        <f>VLOOKUP(D70,區域表!A:B,2,FALSE)</f>
        <v>湯家瑋</v>
      </c>
      <c r="F70" s="189" t="str">
        <f>IFERROR(IF(VLOOKUP(A70,門市狀態!A:D,4,FALSE)=0,"",VLOOKUP(A70,門市狀態!A:D,4,FALSE)),"")</f>
        <v/>
      </c>
      <c r="G70" s="190" t="s">
        <v>1749</v>
      </c>
      <c r="H70" s="191" t="str">
        <f t="shared" si="16"/>
        <v>-2325-北縣五泰店(定保)</v>
      </c>
      <c r="I70" s="195" t="s">
        <v>1749</v>
      </c>
      <c r="J70" s="193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5" t="str" cm="1">
        <f t="array" ref="L70">IF(K70&gt;0,IFERROR(HYPERLINK("#'IM'!AC"&amp;MATCH(1,(IM!$F$1:$F$7702=A70)*(ISNUMBER(SEARCH("PMQ2",IM!$AC$1:$AC$7702))),0),"檢核"),"未登錄"),"")</f>
        <v/>
      </c>
      <c r="M70" s="268" t="str" cm="1">
        <f t="array" ref="M70">IF(AND(SUMPRODUCT((IM!F2:F702=A70)*(ISNUMBER(SEARCH("EDC", IM!AC2:AC702))))&gt;0), "EDC", "")</f>
        <v/>
      </c>
      <c r="N70" s="311" t="str" cm="1">
        <f t="array" ref="N70">IF(AND(SUMPRODUCT((IM!F2:F702=A70)*(ISNUMBER(SEARCH("STAR", IM!AC2:AC702))))&gt;0), "STAR", "")</f>
        <v/>
      </c>
      <c r="O70" s="302" t="str" cm="1">
        <f t="array" ref="O70">IFERROR(INDEX(IM!$X$2:$X$652, MATCH(1, (IM!$F$2:$F$652=A70) * (ISNUMBER(SEARCH($D$1, IM!$AC$2:$AC$652))), 0)), "")</f>
        <v/>
      </c>
      <c r="P70" s="196" t="str">
        <f t="shared" si="17"/>
        <v>-2325-北縣五泰店(定保)</v>
      </c>
      <c r="Q70" s="144"/>
      <c r="R70" s="144"/>
      <c r="S70" s="144"/>
      <c r="T70" s="144"/>
      <c r="U70" s="305">
        <f t="shared" si="18"/>
        <v>2</v>
      </c>
      <c r="V70" s="289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4">
        <v>4983</v>
      </c>
      <c r="B71" s="185" t="s">
        <v>579</v>
      </c>
      <c r="C71" s="186" t="str">
        <f>VLOOKUP($A71,'0919門市清單主檔'!B:V,20,FALSE)</f>
        <v>新北市</v>
      </c>
      <c r="D71" s="187" t="str">
        <f>VLOOKUP($A71,'0919門市清單主檔'!B:V,21,FALSE)</f>
        <v>板橋區</v>
      </c>
      <c r="E71" s="188" t="str">
        <f>VLOOKUP(D71,區域表!A:B,2,FALSE)</f>
        <v>狄澤洋</v>
      </c>
      <c r="F71" s="189" t="str">
        <f>IFERROR(IF(VLOOKUP(A71,門市狀態!A:D,4,FALSE)=0,"",VLOOKUP(A71,門市狀態!A:D,4,FALSE)),"")</f>
        <v/>
      </c>
      <c r="G71" s="190" t="s">
        <v>1749</v>
      </c>
      <c r="H71" s="191" t="str">
        <f t="shared" si="16"/>
        <v>-4983-板橋藝文店(定保)</v>
      </c>
      <c r="I71" s="195" t="s">
        <v>1749</v>
      </c>
      <c r="J71" s="193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5" t="str" cm="1">
        <f t="array" ref="L71">IF(K71&gt;0,IFERROR(HYPERLINK("#'IM'!AC"&amp;MATCH(1,(IM!$F$1:$F$7702=A71)*(ISNUMBER(SEARCH("PMQ2",IM!$AC$1:$AC$7702))),0),"檢核"),"未登錄"),"")</f>
        <v/>
      </c>
      <c r="M71" s="268" t="str" cm="1">
        <f t="array" ref="M71">IF(AND(SUMPRODUCT((IM!F2:F703=A71)*(ISNUMBER(SEARCH("EDC", IM!AC2:AC703))))&gt;0), "EDC", "")</f>
        <v/>
      </c>
      <c r="N71" s="311" t="str" cm="1">
        <f t="array" ref="N71">IF(AND(SUMPRODUCT((IM!F2:F703=A71)*(ISNUMBER(SEARCH("STAR", IM!AC2:AC703))))&gt;0), "STAR", "")</f>
        <v/>
      </c>
      <c r="O71" s="302" t="str" cm="1">
        <f t="array" ref="O71">IFERROR(INDEX(IM!$X$2:$X$652, MATCH(1, (IM!$F$2:$F$652=A71) * (ISNUMBER(SEARCH($D$1, IM!$AC$2:$AC$652))), 0)), "")</f>
        <v/>
      </c>
      <c r="P71" s="196" t="str">
        <f t="shared" si="17"/>
        <v>-4983-板橋藝文店(定保)</v>
      </c>
      <c r="Q71" s="144"/>
      <c r="R71" s="144"/>
      <c r="S71" s="144"/>
      <c r="T71" s="144"/>
      <c r="U71" s="305">
        <f t="shared" si="18"/>
        <v>0</v>
      </c>
      <c r="V71" s="289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4">
        <v>4680</v>
      </c>
      <c r="B72" s="185" t="s">
        <v>484</v>
      </c>
      <c r="C72" s="186" t="str">
        <f>VLOOKUP($A72,'0919門市清單主檔'!B:V,20,FALSE)</f>
        <v>新北市</v>
      </c>
      <c r="D72" s="187" t="str">
        <f>VLOOKUP($A72,'0919門市清單主檔'!B:V,21,FALSE)</f>
        <v>板橋區</v>
      </c>
      <c r="E72" s="188" t="str">
        <f>VLOOKUP(D72,區域表!A:B,2,FALSE)</f>
        <v>狄澤洋</v>
      </c>
      <c r="F72" s="189" t="str">
        <f>IFERROR(IF(VLOOKUP(A72,門市狀態!A:D,4,FALSE)=0,"",VLOOKUP(A72,門市狀態!A:D,4,FALSE)),"")</f>
        <v/>
      </c>
      <c r="G72" s="190" t="s">
        <v>1749</v>
      </c>
      <c r="H72" s="191" t="str">
        <f t="shared" si="16"/>
        <v>-4680-板橋江寧店(定保)</v>
      </c>
      <c r="I72" s="195" t="s">
        <v>1749</v>
      </c>
      <c r="J72" s="193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5" t="str" cm="1">
        <f t="array" ref="L72">IF(K72&gt;0,IFERROR(HYPERLINK("#'IM'!AC"&amp;MATCH(1,(IM!$F$1:$F$7702=A72)*(ISNUMBER(SEARCH("PMQ2",IM!$AC$1:$AC$7702))),0),"檢核"),"未登錄"),"")</f>
        <v/>
      </c>
      <c r="M72" s="268" t="str" cm="1">
        <f t="array" ref="M72">IF(AND(SUMPRODUCT((IM!F2:F704=A72)*(ISNUMBER(SEARCH("EDC", IM!AC2:AC704))))&gt;0), "EDC", "")</f>
        <v/>
      </c>
      <c r="N72" s="311" t="str" cm="1">
        <f t="array" ref="N72">IF(AND(SUMPRODUCT((IM!F2:F704=A72)*(ISNUMBER(SEARCH("STAR", IM!AC2:AC704))))&gt;0), "STAR", "")</f>
        <v/>
      </c>
      <c r="O72" s="302" t="str" cm="1">
        <f t="array" ref="O72">IFERROR(INDEX(IM!$X$2:$X$652, MATCH(1, (IM!$F$2:$F$652=A72) * (ISNUMBER(SEARCH($D$1, IM!$AC$2:$AC$652))), 0)), "")</f>
        <v/>
      </c>
      <c r="P72" s="196" t="str">
        <f t="shared" si="17"/>
        <v>-4680-板橋江寧店(定保)</v>
      </c>
      <c r="Q72" s="144"/>
      <c r="R72" s="144"/>
      <c r="S72" s="144"/>
      <c r="T72" s="144"/>
      <c r="U72" s="305">
        <f t="shared" si="18"/>
        <v>0</v>
      </c>
      <c r="V72" s="289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4">
        <v>4528</v>
      </c>
      <c r="B73" s="185" t="s">
        <v>431</v>
      </c>
      <c r="C73" s="186" t="str">
        <f>VLOOKUP($A73,'0919門市清單主檔'!B:V,20,FALSE)</f>
        <v>新北市</v>
      </c>
      <c r="D73" s="187" t="str">
        <f>VLOOKUP($A73,'0919門市清單主檔'!B:V,21,FALSE)</f>
        <v>八里區</v>
      </c>
      <c r="E73" s="188" t="str">
        <f>VLOOKUP(D73,區域表!A:B,2,FALSE)</f>
        <v>吳宗鴻</v>
      </c>
      <c r="F73" s="189" t="str">
        <f>IFERROR(IF(VLOOKUP(A73,門市狀態!A:D,4,FALSE)=0,"",VLOOKUP(A73,門市狀態!A:D,4,FALSE)),"")</f>
        <v/>
      </c>
      <c r="G73" s="190" t="s">
        <v>1749</v>
      </c>
      <c r="H73" s="191" t="str">
        <f t="shared" si="16"/>
        <v>-4528-八里鐵塔店(定保)</v>
      </c>
      <c r="I73" s="195" t="s">
        <v>1749</v>
      </c>
      <c r="J73" s="193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5" t="str" cm="1">
        <f t="array" ref="L73">IF(K73&gt;0,IFERROR(HYPERLINK("#'IM'!AC"&amp;MATCH(1,(IM!$F$1:$F$7702=A73)*(ISNUMBER(SEARCH("PMQ2",IM!$AC$1:$AC$7702))),0),"檢核"),"未登錄"),"")</f>
        <v/>
      </c>
      <c r="M73" s="268" t="str" cm="1">
        <f t="array" ref="M73">IF(AND(SUMPRODUCT((IM!F2:F705=A73)*(ISNUMBER(SEARCH("EDC", IM!AC2:AC705))))&gt;0), "EDC", "")</f>
        <v/>
      </c>
      <c r="N73" s="311" t="str" cm="1">
        <f t="array" ref="N73">IF(AND(SUMPRODUCT((IM!F2:F705=A73)*(ISNUMBER(SEARCH("STAR", IM!AC2:AC705))))&gt;0), "STAR", "")</f>
        <v/>
      </c>
      <c r="O73" s="302" t="str" cm="1">
        <f t="array" ref="O73">IFERROR(INDEX(IM!$X$2:$X$652, MATCH(1, (IM!$F$2:$F$652=A73) * (ISNUMBER(SEARCH($D$1, IM!$AC$2:$AC$652))), 0)), "")</f>
        <v/>
      </c>
      <c r="P73" s="196" t="str">
        <f t="shared" si="17"/>
        <v>-4528-八里鐵塔店(定保)</v>
      </c>
      <c r="Q73" s="144"/>
      <c r="R73" s="144"/>
      <c r="S73" s="144"/>
      <c r="T73" s="144"/>
      <c r="U73" s="305">
        <f t="shared" si="18"/>
        <v>0</v>
      </c>
      <c r="V73" s="289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4">
        <v>4259</v>
      </c>
      <c r="B74" s="185" t="s">
        <v>349</v>
      </c>
      <c r="C74" s="186" t="str">
        <f>VLOOKUP($A74,'0919門市清單主檔'!B:V,20,FALSE)</f>
        <v>新北市</v>
      </c>
      <c r="D74" s="187" t="str">
        <f>VLOOKUP($A74,'0919門市清單主檔'!B:V,21,FALSE)</f>
        <v>八里區</v>
      </c>
      <c r="E74" s="188" t="str">
        <f>VLOOKUP(D74,區域表!A:B,2,FALSE)</f>
        <v>吳宗鴻</v>
      </c>
      <c r="F74" s="189" t="str">
        <f>IFERROR(IF(VLOOKUP(A74,門市狀態!A:D,4,FALSE)=0,"",VLOOKUP(A74,門市狀態!A:D,4,FALSE)),"")</f>
        <v/>
      </c>
      <c r="G74" s="190" t="s">
        <v>1749</v>
      </c>
      <c r="H74" s="191" t="str">
        <f t="shared" si="16"/>
        <v>-4259-八里水灣店(定保)</v>
      </c>
      <c r="I74" s="195" t="s">
        <v>1749</v>
      </c>
      <c r="J74" s="193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5" t="str" cm="1">
        <f t="array" ref="L74">IF(K74&gt;0,IFERROR(HYPERLINK("#'IM'!AC"&amp;MATCH(1,(IM!$F$1:$F$7702=A74)*(ISNUMBER(SEARCH("PMQ2",IM!$AC$1:$AC$7702))),0),"檢核"),"未登錄"),"")</f>
        <v/>
      </c>
      <c r="M74" s="268" t="str" cm="1">
        <f t="array" ref="M74">IF(AND(SUMPRODUCT((IM!F2:F706=A74)*(ISNUMBER(SEARCH("EDC", IM!AC2:AC706))))&gt;0), "EDC", "")</f>
        <v/>
      </c>
      <c r="N74" s="311" t="str" cm="1">
        <f t="array" ref="N74">IF(AND(SUMPRODUCT((IM!F2:F706=A74)*(ISNUMBER(SEARCH("STAR", IM!AC2:AC706))))&gt;0), "STAR", "")</f>
        <v/>
      </c>
      <c r="O74" s="302" t="str" cm="1">
        <f t="array" ref="O74">IFERROR(INDEX(IM!$X$2:$X$652, MATCH(1, (IM!$F$2:$F$652=A74) * (ISNUMBER(SEARCH($D$1, IM!$AC$2:$AC$652))), 0)), "")</f>
        <v/>
      </c>
      <c r="P74" s="196" t="str">
        <f t="shared" si="17"/>
        <v>-4259-八里水灣店(定保)</v>
      </c>
      <c r="Q74" s="144"/>
      <c r="R74" s="144"/>
      <c r="S74" s="144"/>
      <c r="T74" s="144"/>
      <c r="U74" s="305">
        <f t="shared" si="18"/>
        <v>2</v>
      </c>
      <c r="V74" s="289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4">
        <v>2306</v>
      </c>
      <c r="B75" s="185" t="s">
        <v>91</v>
      </c>
      <c r="C75" s="186" t="str">
        <f>VLOOKUP($A75,'0919門市清單主檔'!B:V,20,FALSE)</f>
        <v>新北市</v>
      </c>
      <c r="D75" s="187" t="str">
        <f>VLOOKUP($A75,'0919門市清單主檔'!B:V,21,FALSE)</f>
        <v>八里區</v>
      </c>
      <c r="E75" s="188" t="str">
        <f>VLOOKUP(D75,區域表!A:B,2,FALSE)</f>
        <v>吳宗鴻</v>
      </c>
      <c r="F75" s="189" t="str">
        <f>IFERROR(IF(VLOOKUP(A75,門市狀態!A:D,4,FALSE)=0,"",VLOOKUP(A75,門市狀態!A:D,4,FALSE)),"")</f>
        <v/>
      </c>
      <c r="G75" s="190" t="s">
        <v>1749</v>
      </c>
      <c r="H75" s="191" t="str">
        <f t="shared" si="16"/>
        <v>-2306-八里凱旋門(定保)</v>
      </c>
      <c r="I75" s="195" t="s">
        <v>1749</v>
      </c>
      <c r="J75" s="193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5" t="str" cm="1">
        <f t="array" ref="L75">IF(K75&gt;0,IFERROR(HYPERLINK("#'IM'!AC"&amp;MATCH(1,(IM!$F$1:$F$7702=A75)*(ISNUMBER(SEARCH("PMQ2",IM!$AC$1:$AC$7702))),0),"檢核"),"未登錄"),"")</f>
        <v/>
      </c>
      <c r="M75" s="268" t="str" cm="1">
        <f t="array" ref="M75">IF(AND(SUMPRODUCT((IM!F2:F707=A75)*(ISNUMBER(SEARCH("EDC", IM!AC2:AC707))))&gt;0), "EDC", "")</f>
        <v/>
      </c>
      <c r="N75" s="311" t="str" cm="1">
        <f t="array" ref="N75">IF(AND(SUMPRODUCT((IM!F2:F707=A75)*(ISNUMBER(SEARCH("STAR", IM!AC2:AC707))))&gt;0), "STAR", "")</f>
        <v/>
      </c>
      <c r="O75" s="302" t="str" cm="1">
        <f t="array" ref="O75">IFERROR(INDEX(IM!$X$2:$X$652, MATCH(1, (IM!$F$2:$F$652=A75) * (ISNUMBER(SEARCH($D$1, IM!$AC$2:$AC$652))), 0)), "")</f>
        <v/>
      </c>
      <c r="P75" s="196" t="str">
        <f t="shared" si="17"/>
        <v>-2306-八里凱旋門(定保)</v>
      </c>
      <c r="Q75" s="144"/>
      <c r="R75" s="144"/>
      <c r="S75" s="144"/>
      <c r="T75" s="144"/>
      <c r="U75" s="305">
        <f t="shared" si="18"/>
        <v>2</v>
      </c>
      <c r="V75" s="289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4">
        <v>4764</v>
      </c>
      <c r="B76" s="185" t="s">
        <v>520</v>
      </c>
      <c r="C76" s="186" t="str">
        <f>VLOOKUP($A76,'0919門市清單主檔'!B:V,20,FALSE)</f>
        <v>新北市</v>
      </c>
      <c r="D76" s="187" t="str">
        <f>VLOOKUP($A76,'0919門市清單主檔'!B:V,21,FALSE)</f>
        <v>八里區</v>
      </c>
      <c r="E76" s="188" t="str">
        <f>VLOOKUP(D76,區域表!A:B,2,FALSE)</f>
        <v>吳宗鴻</v>
      </c>
      <c r="F76" s="189" t="str">
        <f>IFERROR(IF(VLOOKUP(A76,門市狀態!A:D,4,FALSE)=0,"",VLOOKUP(A76,門市狀態!A:D,4,FALSE)),"")</f>
        <v/>
      </c>
      <c r="G76" s="190" t="s">
        <v>1749</v>
      </c>
      <c r="H76" s="191" t="str">
        <f t="shared" si="16"/>
        <v>-4764-八里大船店(定保)</v>
      </c>
      <c r="I76" s="195" t="s">
        <v>1749</v>
      </c>
      <c r="J76" s="193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5" t="str" cm="1">
        <f t="array" ref="L76">IF(K76&gt;0,IFERROR(HYPERLINK("#'IM'!AC"&amp;MATCH(1,(IM!$F$1:$F$7702=A76)*(ISNUMBER(SEARCH("PMQ2",IM!$AC$1:$AC$7702))),0),"檢核"),"未登錄"),"")</f>
        <v/>
      </c>
      <c r="M76" s="268" t="str" cm="1">
        <f t="array" ref="M76">IF(AND(SUMPRODUCT((IM!F2:F708=A76)*(ISNUMBER(SEARCH("EDC", IM!AC2:AC708))))&gt;0), "EDC", "")</f>
        <v/>
      </c>
      <c r="N76" s="311" t="str" cm="1">
        <f t="array" ref="N76">IF(AND(SUMPRODUCT((IM!F2:F708=A76)*(ISNUMBER(SEARCH("STAR", IM!AC2:AC708))))&gt;0), "STAR", "")</f>
        <v/>
      </c>
      <c r="O76" s="302" t="str" cm="1">
        <f t="array" ref="O76">IFERROR(INDEX(IM!$X$2:$X$652, MATCH(1, (IM!$F$2:$F$652=A76) * (ISNUMBER(SEARCH($D$1, IM!$AC$2:$AC$652))), 0)), "")</f>
        <v/>
      </c>
      <c r="P76" s="196" t="str">
        <f t="shared" si="17"/>
        <v>-4764-八里大船店(定保)</v>
      </c>
      <c r="Q76" s="144"/>
      <c r="R76" s="144"/>
      <c r="S76" s="144"/>
      <c r="T76" s="144"/>
      <c r="U76" s="305">
        <f t="shared" si="18"/>
        <v>0</v>
      </c>
      <c r="V76" s="289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4">
        <v>2442</v>
      </c>
      <c r="B77" s="185" t="s">
        <v>105</v>
      </c>
      <c r="C77" s="186" t="str">
        <f>VLOOKUP($A77,'0919門市清單主檔'!B:V,20,FALSE)</f>
        <v>新北市</v>
      </c>
      <c r="D77" s="187" t="str">
        <f>VLOOKUP($A77,'0919門市清單主檔'!B:V,21,FALSE)</f>
        <v>八里區</v>
      </c>
      <c r="E77" s="188" t="str">
        <f>VLOOKUP(D77,區域表!A:B,2,FALSE)</f>
        <v>吳宗鴻</v>
      </c>
      <c r="F77" s="189" t="str">
        <f>IFERROR(IF(VLOOKUP(A77,門市狀態!A:D,4,FALSE)=0,"",VLOOKUP(A77,門市狀態!A:D,4,FALSE)),"")</f>
        <v/>
      </c>
      <c r="G77" s="190" t="s">
        <v>1749</v>
      </c>
      <c r="H77" s="191" t="str">
        <f t="shared" si="16"/>
        <v>-2442-北縣商港店(定保)</v>
      </c>
      <c r="I77" s="195" t="s">
        <v>1749</v>
      </c>
      <c r="J77" s="193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5" t="str" cm="1">
        <f t="array" ref="L77">IF(K77&gt;0,IFERROR(HYPERLINK("#'IM'!AC"&amp;MATCH(1,(IM!$F$1:$F$7702=A77)*(ISNUMBER(SEARCH("PMQ2",IM!$AC$1:$AC$7702))),0),"檢核"),"未登錄"),"")</f>
        <v/>
      </c>
      <c r="M77" s="268" t="str" cm="1">
        <f t="array" ref="M77">IF(AND(SUMPRODUCT((IM!F2:F709=A77)*(ISNUMBER(SEARCH("EDC", IM!AC2:AC709))))&gt;0), "EDC", "")</f>
        <v/>
      </c>
      <c r="N77" s="311" t="str" cm="1">
        <f t="array" ref="N77">IF(AND(SUMPRODUCT((IM!F2:F709=A77)*(ISNUMBER(SEARCH("STAR", IM!AC2:AC709))))&gt;0), "STAR", "")</f>
        <v/>
      </c>
      <c r="O77" s="302" t="str" cm="1">
        <f t="array" ref="O77">IFERROR(INDEX(IM!$X$2:$X$652, MATCH(1, (IM!$F$2:$F$652=A77) * (ISNUMBER(SEARCH($D$1, IM!$AC$2:$AC$652))), 0)), "")</f>
        <v/>
      </c>
      <c r="P77" s="196" t="str">
        <f t="shared" si="17"/>
        <v>-2442-北縣商港店(定保)</v>
      </c>
      <c r="Q77" s="144"/>
      <c r="R77" s="144"/>
      <c r="S77" s="144"/>
      <c r="T77" s="144"/>
      <c r="U77" s="305">
        <f t="shared" si="18"/>
        <v>2</v>
      </c>
      <c r="V77" s="289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4">
        <v>5074</v>
      </c>
      <c r="B78" s="185" t="s">
        <v>585</v>
      </c>
      <c r="C78" s="186" t="str">
        <f>VLOOKUP($A78,'0919門市清單主檔'!B:V,20,FALSE)</f>
        <v>新北市</v>
      </c>
      <c r="D78" s="187" t="str">
        <f>VLOOKUP($A78,'0919門市清單主檔'!B:V,21,FALSE)</f>
        <v>八里區</v>
      </c>
      <c r="E78" s="188" t="str">
        <f>VLOOKUP(D78,區域表!A:B,2,FALSE)</f>
        <v>吳宗鴻</v>
      </c>
      <c r="F78" s="189" t="str">
        <f>IFERROR(IF(VLOOKUP(A78,門市狀態!A:D,4,FALSE)=0,"",VLOOKUP(A78,門市狀態!A:D,4,FALSE)),"")</f>
        <v/>
      </c>
      <c r="G78" s="190" t="s">
        <v>1749</v>
      </c>
      <c r="H78" s="191" t="str">
        <f t="shared" si="16"/>
        <v>-5074-八里福德新村(定保)</v>
      </c>
      <c r="I78" s="195" t="s">
        <v>1749</v>
      </c>
      <c r="J78" s="193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5" t="str" cm="1">
        <f t="array" ref="L78">IF(K78&gt;0,IFERROR(HYPERLINK("#'IM'!AC"&amp;MATCH(1,(IM!$F$1:$F$7702=A78)*(ISNUMBER(SEARCH("PMQ2",IM!$AC$1:$AC$7702))),0),"檢核"),"未登錄"),"")</f>
        <v/>
      </c>
      <c r="M78" s="268" t="str" cm="1">
        <f t="array" ref="M78">IF(AND(SUMPRODUCT((IM!F2:F710=A78)*(ISNUMBER(SEARCH("EDC", IM!AC2:AC710))))&gt;0), "EDC", "")</f>
        <v/>
      </c>
      <c r="N78" s="311" t="str" cm="1">
        <f t="array" ref="N78">IF(AND(SUMPRODUCT((IM!F2:F710=A78)*(ISNUMBER(SEARCH("STAR", IM!AC2:AC710))))&gt;0), "STAR", "")</f>
        <v/>
      </c>
      <c r="O78" s="302" t="str" cm="1">
        <f t="array" ref="O78">IFERROR(INDEX(IM!$X$2:$X$652, MATCH(1, (IM!$F$2:$F$652=A78) * (ISNUMBER(SEARCH($D$1, IM!$AC$2:$AC$652))), 0)), "")</f>
        <v/>
      </c>
      <c r="P78" s="196" t="str">
        <f t="shared" si="17"/>
        <v>-5074-八里福德新村(定保)</v>
      </c>
      <c r="Q78" s="144"/>
      <c r="R78" s="144"/>
      <c r="S78" s="144"/>
      <c r="T78" s="144"/>
      <c r="U78" s="305">
        <f t="shared" si="18"/>
        <v>0</v>
      </c>
      <c r="V78" s="289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4">
        <v>3227</v>
      </c>
      <c r="B79" s="185" t="s">
        <v>173</v>
      </c>
      <c r="C79" s="186" t="str">
        <f>VLOOKUP($A79,'0919門市清單主檔'!B:V,20,FALSE)</f>
        <v>新北市</v>
      </c>
      <c r="D79" s="187" t="str">
        <f>VLOOKUP($A79,'0919門市清單主檔'!B:V,21,FALSE)</f>
        <v>五股區</v>
      </c>
      <c r="E79" s="188" t="str">
        <f>VLOOKUP(D79,區域表!A:B,2,FALSE)</f>
        <v>湯家瑋</v>
      </c>
      <c r="F79" s="189" t="str">
        <f>IFERROR(IF(VLOOKUP(A79,門市狀態!A:D,4,FALSE)=0,"",VLOOKUP(A79,門市狀態!A:D,4,FALSE)),"")</f>
        <v/>
      </c>
      <c r="G79" s="190" t="s">
        <v>1749</v>
      </c>
      <c r="H79" s="191" t="str">
        <f t="shared" ref="H79:H142" si="22">IF(I79&gt;0,(TEXT(I79,"yyyymmdd")&amp;$T$3&amp;A79&amp;$T$3&amp;B79&amp;$R$3),"")</f>
        <v>-3227-五股四維店(定保)</v>
      </c>
      <c r="I79" s="195" t="s">
        <v>1749</v>
      </c>
      <c r="J79" s="193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5" t="str" cm="1">
        <f t="array" ref="L79">IF(K79&gt;0,IFERROR(HYPERLINK("#'IM'!AC"&amp;MATCH(1,(IM!$F$1:$F$7702=A79)*(ISNUMBER(SEARCH("PMQ2",IM!$AC$1:$AC$7702))),0),"檢核"),"未登錄"),"")</f>
        <v/>
      </c>
      <c r="M79" s="268" t="str" cm="1">
        <f t="array" ref="M79">IF(AND(SUMPRODUCT((IM!F2:F711=A79)*(ISNUMBER(SEARCH("EDC", IM!AC2:AC711))))&gt;0), "EDC", "")</f>
        <v/>
      </c>
      <c r="N79" s="311" t="str" cm="1">
        <f t="array" ref="N79">IF(AND(SUMPRODUCT((IM!F2:F711=A79)*(ISNUMBER(SEARCH("STAR", IM!AC2:AC711))))&gt;0), "STAR", "")</f>
        <v/>
      </c>
      <c r="O79" s="302" t="str" cm="1">
        <f t="array" ref="O79">IFERROR(INDEX(IM!$X$2:$X$652, MATCH(1, (IM!$F$2:$F$652=A79) * (ISNUMBER(SEARCH($D$1, IM!$AC$2:$AC$652))), 0)), "")</f>
        <v/>
      </c>
      <c r="P79" s="196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5">
        <f t="shared" ref="U79:U142" si="24">IF(AND(W79&lt;&gt;"", X79&lt;&gt;""), 2, IF(OR(W79&lt;&gt;"", X79&lt;&gt;""), 1, 0))</f>
        <v>1</v>
      </c>
      <c r="V79" s="289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4">
        <v>5003</v>
      </c>
      <c r="B80" s="185" t="s">
        <v>582</v>
      </c>
      <c r="C80" s="186" t="str">
        <f>VLOOKUP($A80,'0919門市清單主檔'!B:V,20,FALSE)</f>
        <v>新北市</v>
      </c>
      <c r="D80" s="187" t="str">
        <f>VLOOKUP($A80,'0919門市清單主檔'!B:V,21,FALSE)</f>
        <v>五股區</v>
      </c>
      <c r="E80" s="188" t="str">
        <f>VLOOKUP(D80,區域表!A:B,2,FALSE)</f>
        <v>湯家瑋</v>
      </c>
      <c r="F80" s="189" t="str">
        <f>IFERROR(IF(VLOOKUP(A80,門市狀態!A:D,4,FALSE)=0,"",VLOOKUP(A80,門市狀態!A:D,4,FALSE)),"")</f>
        <v/>
      </c>
      <c r="G80" s="190" t="s">
        <v>1749</v>
      </c>
      <c r="H80" s="191" t="str">
        <f t="shared" si="22"/>
        <v>-5003-五股更寮店(定保)</v>
      </c>
      <c r="I80" s="195" t="s">
        <v>1749</v>
      </c>
      <c r="J80" s="193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5" t="str" cm="1">
        <f t="array" ref="L80">IF(K80&gt;0,IFERROR(HYPERLINK("#'IM'!AC"&amp;MATCH(1,(IM!$F$1:$F$7702=A80)*(ISNUMBER(SEARCH("PMQ2",IM!$AC$1:$AC$7702))),0),"檢核"),"未登錄"),"")</f>
        <v/>
      </c>
      <c r="M80" s="268" t="str" cm="1">
        <f t="array" ref="M80">IF(AND(SUMPRODUCT((IM!F2:F712=A80)*(ISNUMBER(SEARCH("EDC", IM!AC2:AC712))))&gt;0), "EDC", "")</f>
        <v/>
      </c>
      <c r="N80" s="311" t="str" cm="1">
        <f t="array" ref="N80">IF(AND(SUMPRODUCT((IM!F2:F712=A80)*(ISNUMBER(SEARCH("STAR", IM!AC2:AC712))))&gt;0), "STAR", "")</f>
        <v/>
      </c>
      <c r="O80" s="302" t="str" cm="1">
        <f t="array" ref="O80">IFERROR(INDEX(IM!$X$2:$X$652, MATCH(1, (IM!$F$2:$F$652=A80) * (ISNUMBER(SEARCH($D$1, IM!$AC$2:$AC$652))), 0)), "")</f>
        <v/>
      </c>
      <c r="P80" s="196" t="str">
        <f t="shared" si="23"/>
        <v>-5003-五股更寮店(定保)</v>
      </c>
      <c r="Q80" s="144"/>
      <c r="R80" s="144"/>
      <c r="S80" s="144"/>
      <c r="T80" s="144"/>
      <c r="U80" s="305">
        <f t="shared" si="24"/>
        <v>0</v>
      </c>
      <c r="V80" s="289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4">
        <v>4652</v>
      </c>
      <c r="B81" s="185" t="s">
        <v>473</v>
      </c>
      <c r="C81" s="186" t="str">
        <f>VLOOKUP($A81,'0919門市清單主檔'!B:V,20,FALSE)</f>
        <v>新北市</v>
      </c>
      <c r="D81" s="187" t="str">
        <f>VLOOKUP($A81,'0919門市清單主檔'!B:V,21,FALSE)</f>
        <v>三重區</v>
      </c>
      <c r="E81" s="188" t="str">
        <f>VLOOKUP(D81,區域表!A:B,2,FALSE)</f>
        <v>吳宗鴻</v>
      </c>
      <c r="F81" s="189" t="str">
        <f>IFERROR(IF(VLOOKUP(A81,門市狀態!A:D,4,FALSE)=0,"",VLOOKUP(A81,門市狀態!A:D,4,FALSE)),"")</f>
        <v/>
      </c>
      <c r="G81" s="190" t="s">
        <v>1749</v>
      </c>
      <c r="H81" s="191" t="str">
        <f t="shared" si="22"/>
        <v>-4652-三重天富店(定保)</v>
      </c>
      <c r="I81" s="195" t="s">
        <v>1749</v>
      </c>
      <c r="J81" s="193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5" t="str" cm="1">
        <f t="array" ref="L81">IF(K81&gt;0,IFERROR(HYPERLINK("#'IM'!AC"&amp;MATCH(1,(IM!$F$1:$F$7702=A81)*(ISNUMBER(SEARCH("PMQ2",IM!$AC$1:$AC$7702))),0),"檢核"),"未登錄"),"")</f>
        <v/>
      </c>
      <c r="M81" s="268" t="str" cm="1">
        <f t="array" ref="M81">IF(AND(SUMPRODUCT((IM!F2:F713=A81)*(ISNUMBER(SEARCH("EDC", IM!AC2:AC713))))&gt;0), "EDC", "")</f>
        <v/>
      </c>
      <c r="N81" s="311" t="str" cm="1">
        <f t="array" ref="N81">IF(AND(SUMPRODUCT((IM!F2:F713=A81)*(ISNUMBER(SEARCH("STAR", IM!AC2:AC713))))&gt;0), "STAR", "")</f>
        <v/>
      </c>
      <c r="O81" s="302" t="str" cm="1">
        <f t="array" ref="O81">IFERROR(INDEX(IM!$X$2:$X$652, MATCH(1, (IM!$F$2:$F$652=A81) * (ISNUMBER(SEARCH($D$1, IM!$AC$2:$AC$652))), 0)), "")</f>
        <v/>
      </c>
      <c r="P81" s="196" t="str">
        <f t="shared" si="23"/>
        <v>-4652-三重天富店(定保)</v>
      </c>
      <c r="Q81" s="144"/>
      <c r="R81" s="144"/>
      <c r="S81" s="144"/>
      <c r="T81" s="144"/>
      <c r="U81" s="305">
        <f t="shared" si="24"/>
        <v>0</v>
      </c>
      <c r="V81" s="289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4">
        <v>5197</v>
      </c>
      <c r="B82" s="185" t="s">
        <v>4047</v>
      </c>
      <c r="C82" s="186" t="str">
        <f>VLOOKUP($A82,'0919門市清單主檔'!B:V,20,FALSE)</f>
        <v>新北市</v>
      </c>
      <c r="D82" s="187" t="str">
        <f>VLOOKUP($A82,'0919門市清單主檔'!B:V,21,FALSE)</f>
        <v>蘆洲區</v>
      </c>
      <c r="E82" s="188" t="str">
        <f>VLOOKUP(D82,區域表!A:B,2,FALSE)</f>
        <v>吳宗鴻</v>
      </c>
      <c r="F82" s="189" t="str">
        <f>IFERROR(IF(VLOOKUP(A82,門市狀態!A:D,4,FALSE)=0,"",VLOOKUP(A82,門市狀態!A:D,4,FALSE)),"")</f>
        <v/>
      </c>
      <c r="G82" s="190" t="s">
        <v>1749</v>
      </c>
      <c r="H82" s="191" t="str">
        <f t="shared" si="22"/>
        <v>-5197-蘆洲鴻悅店(定保)</v>
      </c>
      <c r="I82" s="195" t="s">
        <v>1749</v>
      </c>
      <c r="J82" s="193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5" t="str" cm="1">
        <f t="array" ref="L82">IF(K82&gt;0,IFERROR(HYPERLINK("#'IM'!AC"&amp;MATCH(1,(IM!$F$1:$F$7702=A82)*(ISNUMBER(SEARCH("PMQ2",IM!$AC$1:$AC$7702))),0),"檢核"),"未登錄"),"")</f>
        <v/>
      </c>
      <c r="M82" s="268" t="str" cm="1">
        <f t="array" ref="M82">IF(AND(SUMPRODUCT((IM!F2:F714=A82)*(ISNUMBER(SEARCH("EDC", IM!AC2:AC714))))&gt;0), "EDC", "")</f>
        <v/>
      </c>
      <c r="N82" s="311" t="str" cm="1">
        <f t="array" ref="N82">IF(AND(SUMPRODUCT((IM!F2:F714=A82)*(ISNUMBER(SEARCH("STAR", IM!AC2:AC714))))&gt;0), "STAR", "")</f>
        <v/>
      </c>
      <c r="O82" s="302" t="str" cm="1">
        <f t="array" ref="O82">IFERROR(INDEX(IM!$X$2:$X$652, MATCH(1, (IM!$F$2:$F$652=A82) * (ISNUMBER(SEARCH($D$1, IM!$AC$2:$AC$652))), 0)), "")</f>
        <v/>
      </c>
      <c r="P82" s="196" t="str">
        <f t="shared" si="23"/>
        <v>-5197-蘆洲鴻悅店(定保)</v>
      </c>
      <c r="Q82" s="144"/>
      <c r="R82" s="144"/>
      <c r="S82" s="144"/>
      <c r="T82" s="144"/>
      <c r="U82" s="305">
        <f t="shared" si="24"/>
        <v>0</v>
      </c>
      <c r="V82" s="289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4">
        <v>2399</v>
      </c>
      <c r="B83" s="185" t="s">
        <v>100</v>
      </c>
      <c r="C83" s="186" t="str">
        <f>VLOOKUP($A83,'0919門市清單主檔'!B:V,20,FALSE)</f>
        <v>新北市</v>
      </c>
      <c r="D83" s="187" t="str">
        <f>VLOOKUP($A83,'0919門市清單主檔'!B:V,21,FALSE)</f>
        <v>三重區</v>
      </c>
      <c r="E83" s="188" t="str">
        <f>VLOOKUP(D83,區域表!A:B,2,FALSE)</f>
        <v>吳宗鴻</v>
      </c>
      <c r="F83" s="189" t="str">
        <f>IFERROR(IF(VLOOKUP(A83,門市狀態!A:D,4,FALSE)=0,"",VLOOKUP(A83,門市狀態!A:D,4,FALSE)),"")</f>
        <v/>
      </c>
      <c r="G83" s="190" t="s">
        <v>1749</v>
      </c>
      <c r="H83" s="191" t="str">
        <f t="shared" si="22"/>
        <v>-2399-三重三陽店(定保)</v>
      </c>
      <c r="I83" s="195" t="s">
        <v>1749</v>
      </c>
      <c r="J83" s="193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5" t="str" cm="1">
        <f t="array" ref="L83">IF(K83&gt;0,IFERROR(HYPERLINK("#'IM'!AC"&amp;MATCH(1,(IM!$F$1:$F$7702=A83)*(ISNUMBER(SEARCH("PMQ2",IM!$AC$1:$AC$7702))),0),"檢核"),"未登錄"),"")</f>
        <v/>
      </c>
      <c r="M83" s="268" t="str" cm="1">
        <f t="array" ref="M83">IF(AND(SUMPRODUCT((IM!F2:F715=A83)*(ISNUMBER(SEARCH("EDC", IM!AC2:AC715))))&gt;0), "EDC", "")</f>
        <v/>
      </c>
      <c r="N83" s="311" t="str" cm="1">
        <f t="array" ref="N83">IF(AND(SUMPRODUCT((IM!F2:F715=A83)*(ISNUMBER(SEARCH("STAR", IM!AC2:AC715))))&gt;0), "STAR", "")</f>
        <v/>
      </c>
      <c r="O83" s="302" t="str" cm="1">
        <f t="array" ref="O83">IFERROR(INDEX(IM!$X$2:$X$652, MATCH(1, (IM!$F$2:$F$652=A83) * (ISNUMBER(SEARCH($D$1, IM!$AC$2:$AC$652))), 0)), "")</f>
        <v/>
      </c>
      <c r="P83" s="196" t="str">
        <f t="shared" si="23"/>
        <v>-2399-三重三陽店(定保)</v>
      </c>
      <c r="Q83" s="144"/>
      <c r="R83" s="144"/>
      <c r="S83" s="144"/>
      <c r="T83" s="144"/>
      <c r="U83" s="305">
        <f t="shared" si="24"/>
        <v>0</v>
      </c>
      <c r="V83" s="289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4">
        <v>3853</v>
      </c>
      <c r="B84" s="185" t="s">
        <v>249</v>
      </c>
      <c r="C84" s="186" t="str">
        <f>VLOOKUP($A84,'0919門市清單主檔'!B:V,20,FALSE)</f>
        <v>新北市</v>
      </c>
      <c r="D84" s="187" t="str">
        <f>VLOOKUP($A84,'0919門市清單主檔'!B:V,21,FALSE)</f>
        <v>板橋區</v>
      </c>
      <c r="E84" s="188" t="str">
        <f>VLOOKUP(D84,區域表!A:B,2,FALSE)</f>
        <v>狄澤洋</v>
      </c>
      <c r="F84" s="189" t="str">
        <f>IFERROR(IF(VLOOKUP(A84,門市狀態!A:D,4,FALSE)=0,"",VLOOKUP(A84,門市狀態!A:D,4,FALSE)),"")</f>
        <v/>
      </c>
      <c r="G84" s="190" t="s">
        <v>1749</v>
      </c>
      <c r="H84" s="191" t="str">
        <f t="shared" si="22"/>
        <v>-3853-板橋互助店(定保)</v>
      </c>
      <c r="I84" s="195" t="s">
        <v>1749</v>
      </c>
      <c r="J84" s="193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5" t="str" cm="1">
        <f t="array" ref="L84">IF(K84&gt;0,IFERROR(HYPERLINK("#'IM'!AC"&amp;MATCH(1,(IM!$F$1:$F$7702=A84)*(ISNUMBER(SEARCH("PMQ2",IM!$AC$1:$AC$7702))),0),"檢核"),"未登錄"),"")</f>
        <v/>
      </c>
      <c r="M84" s="268" t="str" cm="1">
        <f t="array" ref="M84">IF(AND(SUMPRODUCT((IM!F2:F716=A84)*(ISNUMBER(SEARCH("EDC", IM!AC2:AC716))))&gt;0), "EDC", "")</f>
        <v/>
      </c>
      <c r="N84" s="311" t="str" cm="1">
        <f t="array" ref="N84">IF(AND(SUMPRODUCT((IM!F2:F716=A84)*(ISNUMBER(SEARCH("STAR", IM!AC2:AC716))))&gt;0), "STAR", "")</f>
        <v/>
      </c>
      <c r="O84" s="302" t="str" cm="1">
        <f t="array" ref="O84">IFERROR(INDEX(IM!$X$2:$X$652, MATCH(1, (IM!$F$2:$F$652=A84) * (ISNUMBER(SEARCH($D$1, IM!$AC$2:$AC$652))), 0)), "")</f>
        <v/>
      </c>
      <c r="P84" s="196" t="str">
        <f t="shared" si="23"/>
        <v>-3853-板橋互助店(定保)</v>
      </c>
      <c r="Q84" s="144"/>
      <c r="R84" s="144"/>
      <c r="S84" s="144"/>
      <c r="T84" s="144"/>
      <c r="U84" s="305">
        <f t="shared" si="24"/>
        <v>0</v>
      </c>
      <c r="V84" s="289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4">
        <v>4005</v>
      </c>
      <c r="B85" s="185" t="s">
        <v>288</v>
      </c>
      <c r="C85" s="186" t="str">
        <f>VLOOKUP($A85,'0919門市清單主檔'!B:V,20,FALSE)</f>
        <v>新北市</v>
      </c>
      <c r="D85" s="187" t="str">
        <f>VLOOKUP($A85,'0919門市清單主檔'!B:V,21,FALSE)</f>
        <v>新莊區</v>
      </c>
      <c r="E85" s="188" t="str">
        <f>VLOOKUP(D85,區域表!A:B,2,FALSE)</f>
        <v>湯家瑋</v>
      </c>
      <c r="F85" s="189" t="str">
        <f>IFERROR(IF(VLOOKUP(A85,門市狀態!A:D,4,FALSE)=0,"",VLOOKUP(A85,門市狀態!A:D,4,FALSE)),"")</f>
        <v/>
      </c>
      <c r="G85" s="190" t="s">
        <v>1749</v>
      </c>
      <c r="H85" s="191" t="str">
        <f t="shared" si="22"/>
        <v>-4005-新莊雙鳳店(定保)</v>
      </c>
      <c r="I85" s="195" t="s">
        <v>1749</v>
      </c>
      <c r="J85" s="193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5" t="str" cm="1">
        <f t="array" ref="L85">IF(K85&gt;0,IFERROR(HYPERLINK("#'IM'!AC"&amp;MATCH(1,(IM!$F$1:$F$7702=A85)*(ISNUMBER(SEARCH("PMQ2",IM!$AC$1:$AC$7702))),0),"檢核"),"未登錄"),"")</f>
        <v/>
      </c>
      <c r="M85" s="268" t="str" cm="1">
        <f t="array" ref="M85">IF(AND(SUMPRODUCT((IM!F2:F717=A85)*(ISNUMBER(SEARCH("EDC", IM!AC2:AC717))))&gt;0), "EDC", "")</f>
        <v/>
      </c>
      <c r="N85" s="311" t="str" cm="1">
        <f t="array" ref="N85">IF(AND(SUMPRODUCT((IM!F2:F717=A85)*(ISNUMBER(SEARCH("STAR", IM!AC2:AC717))))&gt;0), "STAR", "")</f>
        <v/>
      </c>
      <c r="O85" s="302" t="str" cm="1">
        <f t="array" ref="O85">IFERROR(INDEX(IM!$X$2:$X$652, MATCH(1, (IM!$F$2:$F$652=A85) * (ISNUMBER(SEARCH($D$1, IM!$AC$2:$AC$652))), 0)), "")</f>
        <v/>
      </c>
      <c r="P85" s="196" t="str">
        <f t="shared" si="23"/>
        <v>-4005-新莊雙鳳店(定保)</v>
      </c>
      <c r="Q85" s="144"/>
      <c r="R85" s="144"/>
      <c r="S85" s="144"/>
      <c r="T85" s="144"/>
      <c r="U85" s="305">
        <f t="shared" si="24"/>
        <v>2</v>
      </c>
      <c r="V85" s="289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4">
        <v>4656</v>
      </c>
      <c r="B86" s="185" t="s">
        <v>477</v>
      </c>
      <c r="C86" s="186" t="str">
        <f>VLOOKUP($A86,'0919門市清單主檔'!B:V,20,FALSE)</f>
        <v>新北市</v>
      </c>
      <c r="D86" s="187" t="str">
        <f>VLOOKUP($A86,'0919門市清單主檔'!B:V,21,FALSE)</f>
        <v>泰山區</v>
      </c>
      <c r="E86" s="188" t="str">
        <f>VLOOKUP(D86,區域表!A:B,2,FALSE)</f>
        <v>湯家瑋</v>
      </c>
      <c r="F86" s="189" t="str">
        <f>IFERROR(IF(VLOOKUP(A86,門市狀態!A:D,4,FALSE)=0,"",VLOOKUP(A86,門市狀態!A:D,4,FALSE)),"")</f>
        <v/>
      </c>
      <c r="G86" s="190" t="s">
        <v>1749</v>
      </c>
      <c r="H86" s="191" t="str">
        <f t="shared" si="22"/>
        <v>-4656-泰山新民店(定保)</v>
      </c>
      <c r="I86" s="195" t="s">
        <v>1749</v>
      </c>
      <c r="J86" s="193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5" t="str" cm="1">
        <f t="array" ref="L86">IF(K86&gt;0,IFERROR(HYPERLINK("#'IM'!AC"&amp;MATCH(1,(IM!$F$1:$F$7702=A86)*(ISNUMBER(SEARCH("PMQ2",IM!$AC$1:$AC$7702))),0),"檢核"),"未登錄"),"")</f>
        <v/>
      </c>
      <c r="M86" s="268" t="str" cm="1">
        <f t="array" ref="M86">IF(AND(SUMPRODUCT((IM!F2:F718=A86)*(ISNUMBER(SEARCH("EDC", IM!AC2:AC718))))&gt;0), "EDC", "")</f>
        <v/>
      </c>
      <c r="N86" s="311" t="str" cm="1">
        <f t="array" ref="N86">IF(AND(SUMPRODUCT((IM!F2:F718=A86)*(ISNUMBER(SEARCH("STAR", IM!AC2:AC718))))&gt;0), "STAR", "")</f>
        <v/>
      </c>
      <c r="O86" s="302" t="str" cm="1">
        <f t="array" ref="O86">IFERROR(INDEX(IM!$X$2:$X$652, MATCH(1, (IM!$F$2:$F$652=A86) * (ISNUMBER(SEARCH($D$1, IM!$AC$2:$AC$652))), 0)), "")</f>
        <v/>
      </c>
      <c r="P86" s="196" t="str">
        <f t="shared" si="23"/>
        <v>-4656-泰山新民店(定保)</v>
      </c>
      <c r="Q86" s="144"/>
      <c r="R86" s="144"/>
      <c r="S86" s="144"/>
      <c r="T86" s="144"/>
      <c r="U86" s="305">
        <f t="shared" si="24"/>
        <v>2</v>
      </c>
      <c r="V86" s="289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4">
        <v>3606</v>
      </c>
      <c r="B87" s="185" t="s">
        <v>209</v>
      </c>
      <c r="C87" s="186" t="str">
        <f>VLOOKUP($A87,'0919門市清單主檔'!B:V,20,FALSE)</f>
        <v>新北市</v>
      </c>
      <c r="D87" s="187" t="str">
        <f>VLOOKUP($A87,'0919門市清單主檔'!B:V,21,FALSE)</f>
        <v>泰山區</v>
      </c>
      <c r="E87" s="188" t="str">
        <f>VLOOKUP(D87,區域表!A:B,2,FALSE)</f>
        <v>湯家瑋</v>
      </c>
      <c r="F87" s="189" t="str">
        <f>IFERROR(IF(VLOOKUP(A87,門市狀態!A:D,4,FALSE)=0,"",VLOOKUP(A87,門市狀態!A:D,4,FALSE)),"")</f>
        <v/>
      </c>
      <c r="G87" s="190" t="s">
        <v>1749</v>
      </c>
      <c r="H87" s="191" t="str">
        <f t="shared" si="22"/>
        <v>-3606-北縣泰富店(定保)</v>
      </c>
      <c r="I87" s="195" t="s">
        <v>1749</v>
      </c>
      <c r="J87" s="193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5" t="str" cm="1">
        <f t="array" ref="L87">IF(K87&gt;0,IFERROR(HYPERLINK("#'IM'!AC"&amp;MATCH(1,(IM!$F$1:$F$7702=A87)*(ISNUMBER(SEARCH("PMQ2",IM!$AC$1:$AC$7702))),0),"檢核"),"未登錄"),"")</f>
        <v/>
      </c>
      <c r="M87" s="268" t="str" cm="1">
        <f t="array" ref="M87">IF(AND(SUMPRODUCT((IM!F2:F719=A87)*(ISNUMBER(SEARCH("EDC", IM!AC2:AC719))))&gt;0), "EDC", "")</f>
        <v/>
      </c>
      <c r="N87" s="311" t="str" cm="1">
        <f t="array" ref="N87">IF(AND(SUMPRODUCT((IM!F2:F719=A87)*(ISNUMBER(SEARCH("STAR", IM!AC2:AC719))))&gt;0), "STAR", "")</f>
        <v/>
      </c>
      <c r="O87" s="302" t="str" cm="1">
        <f t="array" ref="O87">IFERROR(INDEX(IM!$X$2:$X$652, MATCH(1, (IM!$F$2:$F$652=A87) * (ISNUMBER(SEARCH($D$1, IM!$AC$2:$AC$652))), 0)), "")</f>
        <v/>
      </c>
      <c r="P87" s="196" t="str">
        <f t="shared" si="23"/>
        <v>-3606-北縣泰富店(定保)</v>
      </c>
      <c r="Q87" s="144"/>
      <c r="R87" s="144"/>
      <c r="S87" s="144"/>
      <c r="T87" s="144"/>
      <c r="U87" s="305">
        <f t="shared" si="24"/>
        <v>2</v>
      </c>
      <c r="V87" s="289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4">
        <v>4057</v>
      </c>
      <c r="B88" s="185" t="s">
        <v>303</v>
      </c>
      <c r="C88" s="186" t="str">
        <f>VLOOKUP($A88,'0919門市清單主檔'!B:V,20,FALSE)</f>
        <v>新北市</v>
      </c>
      <c r="D88" s="187" t="str">
        <f>VLOOKUP($A88,'0919門市清單主檔'!B:V,21,FALSE)</f>
        <v>林口區</v>
      </c>
      <c r="E88" s="188" t="str">
        <f>VLOOKUP(D88,區域表!A:B,2,FALSE)</f>
        <v>湯家瑋</v>
      </c>
      <c r="F88" s="189" t="str">
        <f>IFERROR(IF(VLOOKUP(A88,門市狀態!A:D,4,FALSE)=0,"",VLOOKUP(A88,門市狀態!A:D,4,FALSE)),"")</f>
        <v/>
      </c>
      <c r="G88" s="190" t="s">
        <v>1749</v>
      </c>
      <c r="H88" s="191" t="str">
        <f t="shared" si="22"/>
        <v>-4057-林口香澄店(定保)</v>
      </c>
      <c r="I88" s="195" t="s">
        <v>1749</v>
      </c>
      <c r="J88" s="193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5" t="str" cm="1">
        <f t="array" ref="L88">IF(K88&gt;0,IFERROR(HYPERLINK("#'IM'!AC"&amp;MATCH(1,(IM!$F$1:$F$7702=A88)*(ISNUMBER(SEARCH("PMQ2",IM!$AC$1:$AC$7702))),0),"檢核"),"未登錄"),"")</f>
        <v/>
      </c>
      <c r="M88" s="268" t="str" cm="1">
        <f t="array" ref="M88">IF(AND(SUMPRODUCT((IM!F2:F720=A88)*(ISNUMBER(SEARCH("EDC", IM!AC2:AC720))))&gt;0), "EDC", "")</f>
        <v/>
      </c>
      <c r="N88" s="311" t="str" cm="1">
        <f t="array" ref="N88">IF(AND(SUMPRODUCT((IM!F2:F720=A88)*(ISNUMBER(SEARCH("STAR", IM!AC2:AC720))))&gt;0), "STAR", "")</f>
        <v/>
      </c>
      <c r="O88" s="302" t="str" cm="1">
        <f t="array" ref="O88">IFERROR(INDEX(IM!$X$2:$X$652, MATCH(1, (IM!$F$2:$F$652=A88) * (ISNUMBER(SEARCH($D$1, IM!$AC$2:$AC$652))), 0)), "")</f>
        <v/>
      </c>
      <c r="P88" s="196" t="str">
        <f t="shared" si="23"/>
        <v>-4057-林口香澄店(定保)</v>
      </c>
      <c r="Q88" s="144"/>
      <c r="R88" s="144"/>
      <c r="S88" s="144"/>
      <c r="T88" s="144"/>
      <c r="U88" s="305">
        <f t="shared" si="24"/>
        <v>2</v>
      </c>
      <c r="V88" s="289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4">
        <v>2267</v>
      </c>
      <c r="B89" s="185" t="s">
        <v>83</v>
      </c>
      <c r="C89" s="186" t="str">
        <f>VLOOKUP($A89,'0919門市清單主檔'!B:V,20,FALSE)</f>
        <v>新北市</v>
      </c>
      <c r="D89" s="187" t="str">
        <f>VLOOKUP($A89,'0919門市清單主檔'!B:V,21,FALSE)</f>
        <v>金山區</v>
      </c>
      <c r="E89" s="188" t="str">
        <f>VLOOKUP(D89,區域表!A:B,2,FALSE)</f>
        <v>吳宗鴻</v>
      </c>
      <c r="F89" s="189" t="str">
        <f>IFERROR(IF(VLOOKUP(A89,門市狀態!A:D,4,FALSE)=0,"",VLOOKUP(A89,門市狀態!A:D,4,FALSE)),"")</f>
        <v/>
      </c>
      <c r="G89" s="190" t="s">
        <v>1749</v>
      </c>
      <c r="H89" s="191" t="str">
        <f t="shared" si="22"/>
        <v>-2267-北縣金陽店(定保)</v>
      </c>
      <c r="I89" s="195" t="s">
        <v>1749</v>
      </c>
      <c r="J89" s="193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5" t="str" cm="1">
        <f t="array" ref="L89">IF(K89&gt;0,IFERROR(HYPERLINK("#'IM'!AC"&amp;MATCH(1,(IM!$F$1:$F$7702=A89)*(ISNUMBER(SEARCH("PMQ2",IM!$AC$1:$AC$7702))),0),"檢核"),"未登錄"),"")</f>
        <v/>
      </c>
      <c r="M89" s="268" t="str" cm="1">
        <f t="array" ref="M89">IF(AND(SUMPRODUCT((IM!F2:F721=A89)*(ISNUMBER(SEARCH("EDC", IM!AC2:AC721))))&gt;0), "EDC", "")</f>
        <v/>
      </c>
      <c r="N89" s="311" t="str" cm="1">
        <f t="array" ref="N89">IF(AND(SUMPRODUCT((IM!F2:F721=A89)*(ISNUMBER(SEARCH("STAR", IM!AC2:AC721))))&gt;0), "STAR", "")</f>
        <v/>
      </c>
      <c r="O89" s="302" t="str" cm="1">
        <f t="array" ref="O89">IFERROR(INDEX(IM!$X$2:$X$652, MATCH(1, (IM!$F$2:$F$652=A89) * (ISNUMBER(SEARCH($D$1, IM!$AC$2:$AC$652))), 0)), "")</f>
        <v/>
      </c>
      <c r="P89" s="196" t="str">
        <f t="shared" si="23"/>
        <v>-2267-北縣金陽店(定保)</v>
      </c>
      <c r="Q89" s="144"/>
      <c r="R89" s="144"/>
      <c r="S89" s="144"/>
      <c r="T89" s="144"/>
      <c r="U89" s="305">
        <f t="shared" si="24"/>
        <v>2</v>
      </c>
      <c r="V89" s="289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4">
        <v>4906</v>
      </c>
      <c r="B90" s="185" t="s">
        <v>559</v>
      </c>
      <c r="C90" s="186" t="str">
        <f>VLOOKUP($A90,'0919門市清單主檔'!B:V,20,FALSE)</f>
        <v>新北市</v>
      </c>
      <c r="D90" s="187" t="str">
        <f>VLOOKUP($A90,'0919門市清單主檔'!B:V,21,FALSE)</f>
        <v>金山區</v>
      </c>
      <c r="E90" s="188" t="str">
        <f>VLOOKUP(D90,區域表!A:B,2,FALSE)</f>
        <v>吳宗鴻</v>
      </c>
      <c r="F90" s="189" t="str">
        <f>IFERROR(IF(VLOOKUP(A90,門市狀態!A:D,4,FALSE)=0,"",VLOOKUP(A90,門市狀態!A:D,4,FALSE)),"")</f>
        <v/>
      </c>
      <c r="G90" s="190" t="s">
        <v>1749</v>
      </c>
      <c r="H90" s="191" t="str">
        <f t="shared" si="22"/>
        <v>-4906-金山銀山店(定保)</v>
      </c>
      <c r="I90" s="195" t="s">
        <v>1749</v>
      </c>
      <c r="J90" s="193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5" t="str" cm="1">
        <f t="array" ref="L90">IF(K90&gt;0,IFERROR(HYPERLINK("#'IM'!AC"&amp;MATCH(1,(IM!$F$1:$F$7702=A90)*(ISNUMBER(SEARCH("PMQ2",IM!$AC$1:$AC$7702))),0),"檢核"),"未登錄"),"")</f>
        <v/>
      </c>
      <c r="M90" s="268" t="str" cm="1">
        <f t="array" ref="M90">IF(AND(SUMPRODUCT((IM!F2:F722=A90)*(ISNUMBER(SEARCH("EDC", IM!AC2:AC722))))&gt;0), "EDC", "")</f>
        <v/>
      </c>
      <c r="N90" s="311" t="str" cm="1">
        <f t="array" ref="N90">IF(AND(SUMPRODUCT((IM!F2:F722=A90)*(ISNUMBER(SEARCH("STAR", IM!AC2:AC722))))&gt;0), "STAR", "")</f>
        <v/>
      </c>
      <c r="O90" s="302" t="str" cm="1">
        <f t="array" ref="O90">IFERROR(INDEX(IM!$X$2:$X$652, MATCH(1, (IM!$F$2:$F$652=A90) * (ISNUMBER(SEARCH($D$1, IM!$AC$2:$AC$652))), 0)), "")</f>
        <v/>
      </c>
      <c r="P90" s="196" t="str">
        <f t="shared" si="23"/>
        <v>-4906-金山銀山店(定保)</v>
      </c>
      <c r="Q90" s="144"/>
      <c r="R90" s="144"/>
      <c r="S90" s="144"/>
      <c r="T90" s="144"/>
      <c r="U90" s="305">
        <f t="shared" si="24"/>
        <v>0</v>
      </c>
      <c r="V90" s="289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4">
        <v>4845</v>
      </c>
      <c r="B91" s="185" t="s">
        <v>545</v>
      </c>
      <c r="C91" s="186" t="str">
        <f>VLOOKUP($A91,'0919門市清單主檔'!B:V,20,FALSE)</f>
        <v>新北市</v>
      </c>
      <c r="D91" s="187" t="str">
        <f>VLOOKUP($A91,'0919門市清單主檔'!B:V,21,FALSE)</f>
        <v>石門區</v>
      </c>
      <c r="E91" s="188" t="str">
        <f>VLOOKUP(D91,區域表!A:B,2,FALSE)</f>
        <v>吳宗鴻</v>
      </c>
      <c r="F91" s="189" t="str">
        <f>IFERROR(IF(VLOOKUP(A91,門市狀態!A:D,4,FALSE)=0,"",VLOOKUP(A91,門市狀態!A:D,4,FALSE)),"")</f>
        <v/>
      </c>
      <c r="G91" s="190" t="s">
        <v>1749</v>
      </c>
      <c r="H91" s="191" t="str">
        <f t="shared" si="22"/>
        <v>-4845-石門海角店(定保)</v>
      </c>
      <c r="I91" s="195" t="s">
        <v>1749</v>
      </c>
      <c r="J91" s="193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5" t="str" cm="1">
        <f t="array" ref="L91">IF(K91&gt;0,IFERROR(HYPERLINK("#'IM'!AC"&amp;MATCH(1,(IM!$F$1:$F$7702=A91)*(ISNUMBER(SEARCH("PMQ2",IM!$AC$1:$AC$7702))),0),"檢核"),"未登錄"),"")</f>
        <v/>
      </c>
      <c r="M91" s="268" t="str" cm="1">
        <f t="array" ref="M91">IF(AND(SUMPRODUCT((IM!F2:F723=A91)*(ISNUMBER(SEARCH("EDC", IM!AC2:AC723))))&gt;0), "EDC", "")</f>
        <v/>
      </c>
      <c r="N91" s="311" t="str" cm="1">
        <f t="array" ref="N91">IF(AND(SUMPRODUCT((IM!F2:F723=A91)*(ISNUMBER(SEARCH("STAR", IM!AC2:AC723))))&gt;0), "STAR", "")</f>
        <v/>
      </c>
      <c r="O91" s="302" t="str" cm="1">
        <f t="array" ref="O91">IFERROR(INDEX(IM!$X$2:$X$652, MATCH(1, (IM!$F$2:$F$652=A91) * (ISNUMBER(SEARCH($D$1, IM!$AC$2:$AC$652))), 0)), "")</f>
        <v/>
      </c>
      <c r="P91" s="196" t="str">
        <f t="shared" si="23"/>
        <v>-4845-石門海角店(定保)</v>
      </c>
      <c r="Q91" s="144"/>
      <c r="R91" s="144"/>
      <c r="S91" s="144"/>
      <c r="T91" s="144"/>
      <c r="U91" s="305">
        <f t="shared" si="24"/>
        <v>2</v>
      </c>
      <c r="V91" s="289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4">
        <v>4406</v>
      </c>
      <c r="B92" s="185" t="s">
        <v>392</v>
      </c>
      <c r="C92" s="186" t="str">
        <f>VLOOKUP($A92,'0919門市清單主檔'!B:V,20,FALSE)</f>
        <v>新北市</v>
      </c>
      <c r="D92" s="187" t="str">
        <f>VLOOKUP($A92,'0919門市清單主檔'!B:V,21,FALSE)</f>
        <v>板橋區</v>
      </c>
      <c r="E92" s="188" t="str">
        <f>VLOOKUP(D92,區域表!A:B,2,FALSE)</f>
        <v>狄澤洋</v>
      </c>
      <c r="F92" s="189" t="str">
        <f>IFERROR(IF(VLOOKUP(A92,門市狀態!A:D,4,FALSE)=0,"",VLOOKUP(A92,門市狀態!A:D,4,FALSE)),"")</f>
        <v/>
      </c>
      <c r="G92" s="190" t="s">
        <v>1749</v>
      </c>
      <c r="H92" s="191" t="str">
        <f t="shared" si="22"/>
        <v>-4406-板橋稚暉店(定保)</v>
      </c>
      <c r="I92" s="195" t="s">
        <v>1749</v>
      </c>
      <c r="J92" s="193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5" t="str" cm="1">
        <f t="array" ref="L92">IF(K92&gt;0,IFERROR(HYPERLINK("#'IM'!AC"&amp;MATCH(1,(IM!$F$1:$F$7702=A92)*(ISNUMBER(SEARCH("PMQ2",IM!$AC$1:$AC$7702))),0),"檢核"),"未登錄"),"")</f>
        <v/>
      </c>
      <c r="M92" s="268" t="str" cm="1">
        <f t="array" ref="M92">IF(AND(SUMPRODUCT((IM!F2:F724=A92)*(ISNUMBER(SEARCH("EDC", IM!AC2:AC724))))&gt;0), "EDC", "")</f>
        <v/>
      </c>
      <c r="N92" s="311" t="str" cm="1">
        <f t="array" ref="N92">IF(AND(SUMPRODUCT((IM!F2:F724=A92)*(ISNUMBER(SEARCH("STAR", IM!AC2:AC724))))&gt;0), "STAR", "")</f>
        <v/>
      </c>
      <c r="O92" s="302" t="str" cm="1">
        <f t="array" ref="O92">IFERROR(INDEX(IM!$X$2:$X$652, MATCH(1, (IM!$F$2:$F$652=A92) * (ISNUMBER(SEARCH($D$1, IM!$AC$2:$AC$652))), 0)), "")</f>
        <v/>
      </c>
      <c r="P92" s="196" t="str">
        <f t="shared" si="23"/>
        <v>-4406-板橋稚暉店(定保)</v>
      </c>
      <c r="Q92" s="144"/>
      <c r="R92" s="144"/>
      <c r="S92" s="144"/>
      <c r="T92" s="144"/>
      <c r="U92" s="305">
        <f t="shared" si="24"/>
        <v>0</v>
      </c>
      <c r="V92" s="289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4">
        <v>4101</v>
      </c>
      <c r="B93" s="185" t="s">
        <v>312</v>
      </c>
      <c r="C93" s="186" t="str">
        <f>VLOOKUP($A93,'0919門市清單主檔'!B:V,20,FALSE)</f>
        <v>新北市</v>
      </c>
      <c r="D93" s="187" t="str">
        <f>VLOOKUP($A93,'0919門市清單主檔'!B:V,21,FALSE)</f>
        <v>三重區</v>
      </c>
      <c r="E93" s="188" t="str">
        <f>VLOOKUP(D93,區域表!A:B,2,FALSE)</f>
        <v>吳宗鴻</v>
      </c>
      <c r="F93" s="189" t="str">
        <f>IFERROR(IF(VLOOKUP(A93,門市狀態!A:D,4,FALSE)=0,"",VLOOKUP(A93,門市狀態!A:D,4,FALSE)),"")</f>
        <v/>
      </c>
      <c r="G93" s="190" t="s">
        <v>1749</v>
      </c>
      <c r="H93" s="191" t="str">
        <f t="shared" si="22"/>
        <v>-4101-三重溪華店(定保)</v>
      </c>
      <c r="I93" s="195" t="s">
        <v>1749</v>
      </c>
      <c r="J93" s="193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5" t="str" cm="1">
        <f t="array" ref="L93">IF(K93&gt;0,IFERROR(HYPERLINK("#'IM'!AC"&amp;MATCH(1,(IM!$F$1:$F$7702=A93)*(ISNUMBER(SEARCH("PMQ2",IM!$AC$1:$AC$7702))),0),"檢核"),"未登錄"),"")</f>
        <v/>
      </c>
      <c r="M93" s="268" t="str" cm="1">
        <f t="array" ref="M93">IF(AND(SUMPRODUCT((IM!F2:F725=A93)*(ISNUMBER(SEARCH("EDC", IM!AC2:AC725))))&gt;0), "EDC", "")</f>
        <v/>
      </c>
      <c r="N93" s="311" t="str" cm="1">
        <f t="array" ref="N93">IF(AND(SUMPRODUCT((IM!F2:F725=A93)*(ISNUMBER(SEARCH("STAR", IM!AC2:AC725))))&gt;0), "STAR", "")</f>
        <v/>
      </c>
      <c r="O93" s="302" t="str" cm="1">
        <f t="array" ref="O93">IFERROR(INDEX(IM!$X$2:$X$652, MATCH(1, (IM!$F$2:$F$652=A93) * (ISNUMBER(SEARCH($D$1, IM!$AC$2:$AC$652))), 0)), "")</f>
        <v/>
      </c>
      <c r="P93" s="196" t="str">
        <f t="shared" si="23"/>
        <v>-4101-三重溪華店(定保)</v>
      </c>
      <c r="Q93" s="144"/>
      <c r="R93" s="144"/>
      <c r="S93" s="144"/>
      <c r="T93" s="144"/>
      <c r="U93" s="305">
        <f t="shared" si="24"/>
        <v>0</v>
      </c>
      <c r="V93" s="289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4" t="s">
        <v>18</v>
      </c>
      <c r="B94" s="185" t="s">
        <v>1499</v>
      </c>
      <c r="C94" s="186" t="str">
        <f>VLOOKUP($A94,'0919門市清單主檔'!B:V,20,FALSE)</f>
        <v>新北市</v>
      </c>
      <c r="D94" s="187" t="str">
        <f>VLOOKUP($A94,'0919門市清單主檔'!B:V,21,FALSE)</f>
        <v>三重區</v>
      </c>
      <c r="E94" s="188" t="str">
        <f>VLOOKUP(D94,區域表!A:B,2,FALSE)</f>
        <v>吳宗鴻</v>
      </c>
      <c r="F94" s="189" t="str">
        <f>IFERROR(IF(VLOOKUP(A94,門市狀態!A:D,4,FALSE)=0,"",VLOOKUP(A94,門市狀態!A:D,4,FALSE)),"")</f>
        <v/>
      </c>
      <c r="G94" s="190" t="s">
        <v>1749</v>
      </c>
      <c r="H94" s="191" t="str">
        <f t="shared" si="22"/>
        <v>-D022-三重溪尾店(定保)</v>
      </c>
      <c r="I94" s="195" t="s">
        <v>1749</v>
      </c>
      <c r="J94" s="193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5" t="str" cm="1">
        <f t="array" ref="L94">IF(K94&gt;0,IFERROR(HYPERLINK("#'IM'!AC"&amp;MATCH(1,(IM!$F$1:$F$7702=A94)*(ISNUMBER(SEARCH("PMQ2",IM!$AC$1:$AC$7702))),0),"檢核"),"未登錄"),"")</f>
        <v/>
      </c>
      <c r="M94" s="268" t="str" cm="1">
        <f t="array" ref="M94">IF(AND(SUMPRODUCT((IM!F2:F726=A94)*(ISNUMBER(SEARCH("EDC", IM!AC2:AC726))))&gt;0), "EDC", "")</f>
        <v/>
      </c>
      <c r="N94" s="311" t="str" cm="1">
        <f t="array" ref="N94">IF(AND(SUMPRODUCT((IM!F2:F726=A94)*(ISNUMBER(SEARCH("STAR", IM!AC2:AC726))))&gt;0), "STAR", "")</f>
        <v/>
      </c>
      <c r="O94" s="302" t="str" cm="1">
        <f t="array" ref="O94">IFERROR(INDEX(IM!$X$2:$X$652, MATCH(1, (IM!$F$2:$F$652=A94) * (ISNUMBER(SEARCH($D$1, IM!$AC$2:$AC$652))), 0)), "")</f>
        <v/>
      </c>
      <c r="P94" s="196" t="str">
        <f t="shared" si="23"/>
        <v>-D022-三重溪尾店(定保)</v>
      </c>
      <c r="Q94" s="144"/>
      <c r="R94" s="144"/>
      <c r="S94" s="144"/>
      <c r="T94" s="144"/>
      <c r="U94" s="305">
        <f t="shared" si="24"/>
        <v>0</v>
      </c>
      <c r="V94" s="289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4">
        <v>4144</v>
      </c>
      <c r="B95" s="185" t="s">
        <v>316</v>
      </c>
      <c r="C95" s="186" t="str">
        <f>VLOOKUP($A95,'0919門市清單主檔'!B:V,20,FALSE)</f>
        <v>新北市</v>
      </c>
      <c r="D95" s="187" t="str">
        <f>VLOOKUP($A95,'0919門市清單主檔'!B:V,21,FALSE)</f>
        <v>新莊區</v>
      </c>
      <c r="E95" s="188" t="str">
        <f>VLOOKUP(D95,區域表!A:B,2,FALSE)</f>
        <v>湯家瑋</v>
      </c>
      <c r="F95" s="189" t="str">
        <f>IFERROR(IF(VLOOKUP(A95,門市狀態!A:D,4,FALSE)=0,"",VLOOKUP(A95,門市狀態!A:D,4,FALSE)),"")</f>
        <v/>
      </c>
      <c r="G95" s="190" t="s">
        <v>1749</v>
      </c>
      <c r="H95" s="191" t="str">
        <f t="shared" si="22"/>
        <v>-4144-新莊頭前店(定保)</v>
      </c>
      <c r="I95" s="195" t="s">
        <v>1749</v>
      </c>
      <c r="J95" s="193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5" t="str" cm="1">
        <f t="array" ref="L95">IF(K95&gt;0,IFERROR(HYPERLINK("#'IM'!AC"&amp;MATCH(1,(IM!$F$1:$F$7702=A95)*(ISNUMBER(SEARCH("PMQ2",IM!$AC$1:$AC$7702))),0),"檢核"),"未登錄"),"")</f>
        <v/>
      </c>
      <c r="M95" s="268" t="str" cm="1">
        <f t="array" ref="M95">IF(AND(SUMPRODUCT((IM!F2:F727=A95)*(ISNUMBER(SEARCH("EDC", IM!AC2:AC727))))&gt;0), "EDC", "")</f>
        <v/>
      </c>
      <c r="N95" s="311" t="str" cm="1">
        <f t="array" ref="N95">IF(AND(SUMPRODUCT((IM!F2:F727=A95)*(ISNUMBER(SEARCH("STAR", IM!AC2:AC727))))&gt;0), "STAR", "")</f>
        <v/>
      </c>
      <c r="O95" s="302" t="str" cm="1">
        <f t="array" ref="O95">IFERROR(INDEX(IM!$X$2:$X$652, MATCH(1, (IM!$F$2:$F$652=A95) * (ISNUMBER(SEARCH($D$1, IM!$AC$2:$AC$652))), 0)), "")</f>
        <v/>
      </c>
      <c r="P95" s="196" t="str">
        <f t="shared" si="23"/>
        <v>-4144-新莊頭前店(定保)</v>
      </c>
      <c r="Q95" s="144"/>
      <c r="R95" s="144"/>
      <c r="S95" s="144"/>
      <c r="T95" s="144"/>
      <c r="U95" s="305">
        <f t="shared" si="24"/>
        <v>2</v>
      </c>
      <c r="V95" s="289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4">
        <v>3359</v>
      </c>
      <c r="B96" s="185" t="s">
        <v>183</v>
      </c>
      <c r="C96" s="186" t="str">
        <f>VLOOKUP($A96,'0919門市清單主檔'!B:V,20,FALSE)</f>
        <v>新北市</v>
      </c>
      <c r="D96" s="187" t="str">
        <f>VLOOKUP($A96,'0919門市清單主檔'!B:V,21,FALSE)</f>
        <v>三重區</v>
      </c>
      <c r="E96" s="188" t="str">
        <f>VLOOKUP(D96,區域表!A:B,2,FALSE)</f>
        <v>吳宗鴻</v>
      </c>
      <c r="F96" s="189" t="str">
        <f>IFERROR(IF(VLOOKUP(A96,門市狀態!A:D,4,FALSE)=0,"",VLOOKUP(A96,門市狀態!A:D,4,FALSE)),"")</f>
        <v/>
      </c>
      <c r="G96" s="190" t="s">
        <v>4089</v>
      </c>
      <c r="H96" s="191" t="str">
        <f t="shared" si="22"/>
        <v>-3359-三重金陵店(定保)</v>
      </c>
      <c r="I96" s="195" t="s">
        <v>1749</v>
      </c>
      <c r="J96" s="193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5" t="str" cm="1">
        <f t="array" ref="L96">IF(K96&gt;0,IFERROR(HYPERLINK("#'IM'!AC"&amp;MATCH(1,(IM!$F$1:$F$7702=A96)*(ISNUMBER(SEARCH("PMQ2",IM!$AC$1:$AC$7702))),0),"檢核"),"未登錄"),"")</f>
        <v/>
      </c>
      <c r="M96" s="268" t="str" cm="1">
        <f t="array" ref="M96">IF(AND(SUMPRODUCT((IM!F2:F728=A96)*(ISNUMBER(SEARCH("EDC", IM!AC2:AC728))))&gt;0), "EDC", "")</f>
        <v/>
      </c>
      <c r="N96" s="311" t="str" cm="1">
        <f t="array" ref="N96">IF(AND(SUMPRODUCT((IM!F2:F728=A96)*(ISNUMBER(SEARCH("STAR", IM!AC2:AC728))))&gt;0), "STAR", "")</f>
        <v/>
      </c>
      <c r="O96" s="302" t="str" cm="1">
        <f t="array" ref="O96">IFERROR(INDEX(IM!$X$2:$X$652, MATCH(1, (IM!$F$2:$F$652=A96) * (ISNUMBER(SEARCH($D$1, IM!$AC$2:$AC$652))), 0)), "")</f>
        <v/>
      </c>
      <c r="P96" s="196" t="str">
        <f t="shared" si="23"/>
        <v>-3359-三重金陵店(定保)</v>
      </c>
      <c r="Q96" s="144"/>
      <c r="R96" s="144"/>
      <c r="S96" s="144"/>
      <c r="T96" s="144"/>
      <c r="U96" s="305">
        <f t="shared" si="24"/>
        <v>2</v>
      </c>
      <c r="V96" s="289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4" t="s">
        <v>25</v>
      </c>
      <c r="B97" s="185" t="s">
        <v>4161</v>
      </c>
      <c r="C97" s="186" t="str">
        <f>VLOOKUP($A97,'0919門市清單主檔'!B:V,20,FALSE)</f>
        <v>新北市</v>
      </c>
      <c r="D97" s="187" t="str">
        <f>VLOOKUP($A97,'0919門市清單主檔'!B:V,21,FALSE)</f>
        <v>三重區</v>
      </c>
      <c r="E97" s="188" t="str">
        <f>VLOOKUP(D97,區域表!A:B,2,FALSE)</f>
        <v>吳宗鴻</v>
      </c>
      <c r="F97" s="189" t="str">
        <f>IFERROR(IF(VLOOKUP(A97,門市狀態!A:D,4,FALSE)=0,"",VLOOKUP(A97,門市狀態!A:D,4,FALSE)),"")</f>
        <v/>
      </c>
      <c r="G97" s="190" t="s">
        <v>1749</v>
      </c>
      <c r="H97" s="191" t="str">
        <f t="shared" si="22"/>
        <v>-D191-三重興德店(定保)</v>
      </c>
      <c r="I97" s="195" t="s">
        <v>1749</v>
      </c>
      <c r="J97" s="193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5" t="str" cm="1">
        <f t="array" ref="L97">IF(K97&gt;0,IFERROR(HYPERLINK("#'IM'!AC"&amp;MATCH(1,(IM!$F$1:$F$7702=A97)*(ISNUMBER(SEARCH("PMQ2",IM!$AC$1:$AC$7702))),0),"檢核"),"未登錄"),"")</f>
        <v/>
      </c>
      <c r="M97" s="268" t="str" cm="1">
        <f t="array" ref="M97">IF(AND(SUMPRODUCT((IM!F2:F729=A97)*(ISNUMBER(SEARCH("EDC", IM!AC2:AC729))))&gt;0), "EDC", "")</f>
        <v/>
      </c>
      <c r="N97" s="311" t="str" cm="1">
        <f t="array" ref="N97">IF(AND(SUMPRODUCT((IM!F2:F729=A97)*(ISNUMBER(SEARCH("STAR", IM!AC2:AC729))))&gt;0), "STAR", "")</f>
        <v/>
      </c>
      <c r="O97" s="302" t="str" cm="1">
        <f t="array" ref="O97">IFERROR(INDEX(IM!$X$2:$X$652, MATCH(1, (IM!$F$2:$F$652=A97) * (ISNUMBER(SEARCH($D$1, IM!$AC$2:$AC$652))), 0)), "")</f>
        <v/>
      </c>
      <c r="P97" s="196" t="str">
        <f t="shared" si="23"/>
        <v>-D191-三重興德店(定保)</v>
      </c>
      <c r="Q97" s="144"/>
      <c r="R97" s="144"/>
      <c r="S97" s="144"/>
      <c r="T97" s="144"/>
      <c r="U97" s="305">
        <f t="shared" si="24"/>
        <v>2</v>
      </c>
      <c r="V97" s="289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4">
        <v>4977</v>
      </c>
      <c r="B98" s="185" t="s">
        <v>578</v>
      </c>
      <c r="C98" s="186" t="str">
        <f>VLOOKUP($A98,'0919門市清單主檔'!B:V,20,FALSE)</f>
        <v>新北市</v>
      </c>
      <c r="D98" s="187" t="str">
        <f>VLOOKUP($A98,'0919門市清單主檔'!B:V,21,FALSE)</f>
        <v>三重區</v>
      </c>
      <c r="E98" s="188" t="str">
        <f>VLOOKUP(D98,區域表!A:B,2,FALSE)</f>
        <v>吳宗鴻</v>
      </c>
      <c r="F98" s="189" t="str">
        <f>IFERROR(IF(VLOOKUP(A98,門市狀態!A:D,4,FALSE)=0,"",VLOOKUP(A98,門市狀態!A:D,4,FALSE)),"")</f>
        <v/>
      </c>
      <c r="G98" s="190" t="s">
        <v>1749</v>
      </c>
      <c r="H98" s="191" t="str">
        <f t="shared" si="22"/>
        <v>-4977-三重初戀店(定保)</v>
      </c>
      <c r="I98" s="195" t="s">
        <v>1749</v>
      </c>
      <c r="J98" s="193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5" t="str" cm="1">
        <f t="array" ref="L98">IF(K98&gt;0,IFERROR(HYPERLINK("#'IM'!AC"&amp;MATCH(1,(IM!$F$1:$F$7702=A98)*(ISNUMBER(SEARCH("PMQ2",IM!$AC$1:$AC$7702))),0),"檢核"),"未登錄"),"")</f>
        <v/>
      </c>
      <c r="M98" s="268" t="str" cm="1">
        <f t="array" ref="M98">IF(AND(SUMPRODUCT((IM!F2:F730=A98)*(ISNUMBER(SEARCH("EDC", IM!AC2:AC730))))&gt;0), "EDC", "")</f>
        <v/>
      </c>
      <c r="N98" s="311" t="str" cm="1">
        <f t="array" ref="N98">IF(AND(SUMPRODUCT((IM!F2:F730=A98)*(ISNUMBER(SEARCH("STAR", IM!AC2:AC730))))&gt;0), "STAR", "")</f>
        <v>STAR</v>
      </c>
      <c r="O98" s="302" cm="1">
        <f t="array" ref="O98">IFERROR(INDEX(IM!$X$2:$X$652, MATCH(1, (IM!$F$2:$F$652=A98) * (ISNUMBER(SEARCH($D$1, IM!$AC$2:$AC$652))), 0)), "")</f>
        <v>45743.524305555555</v>
      </c>
      <c r="P98" s="196" t="str">
        <f t="shared" si="23"/>
        <v>-4977-三重初戀店(定保)</v>
      </c>
      <c r="Q98" s="144"/>
      <c r="R98" s="144"/>
      <c r="S98" s="144"/>
      <c r="T98" s="144"/>
      <c r="U98" s="305">
        <f t="shared" si="24"/>
        <v>2</v>
      </c>
      <c r="V98" s="289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4">
        <v>4529</v>
      </c>
      <c r="B99" s="185" t="s">
        <v>432</v>
      </c>
      <c r="C99" s="186" t="str">
        <f>VLOOKUP($A99,'0919門市清單主檔'!B:V,20,FALSE)</f>
        <v>新北市</v>
      </c>
      <c r="D99" s="187" t="str">
        <f>VLOOKUP($A99,'0919門市清單主檔'!B:V,21,FALSE)</f>
        <v>淡水區</v>
      </c>
      <c r="E99" s="188" t="str">
        <f>VLOOKUP(D99,區域表!A:B,2,FALSE)</f>
        <v>吳宗鴻</v>
      </c>
      <c r="F99" s="189" t="str">
        <f>IFERROR(IF(VLOOKUP(A99,門市狀態!A:D,4,FALSE)=0,"",VLOOKUP(A99,門市狀態!A:D,4,FALSE)),"")</f>
        <v/>
      </c>
      <c r="G99" s="190" t="s">
        <v>1749</v>
      </c>
      <c r="H99" s="191" t="str">
        <f t="shared" si="22"/>
        <v>-4529-淡水新洲店(定保)</v>
      </c>
      <c r="I99" s="195" t="s">
        <v>1749</v>
      </c>
      <c r="J99" s="193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5" t="str" cm="1">
        <f t="array" ref="L99">IF(K99&gt;0,IFERROR(HYPERLINK("#'IM'!AC"&amp;MATCH(1,(IM!$F$1:$F$7702=A99)*(ISNUMBER(SEARCH("PMQ2",IM!$AC$1:$AC$7702))),0),"檢核"),"未登錄"),"")</f>
        <v/>
      </c>
      <c r="M99" s="268" t="str" cm="1">
        <f t="array" ref="M99">IF(AND(SUMPRODUCT((IM!F2:F732=A99)*(ISNUMBER(SEARCH("EDC", IM!AC2:AC732))))&gt;0), "EDC", "")</f>
        <v/>
      </c>
      <c r="N99" s="311" t="str" cm="1">
        <f t="array" ref="N99">IF(AND(SUMPRODUCT((IM!F2:F732=A99)*(ISNUMBER(SEARCH("STAR", IM!AC2:AC732))))&gt;0), "STAR", "")</f>
        <v/>
      </c>
      <c r="O99" s="302" t="str" cm="1">
        <f t="array" ref="O99">IFERROR(INDEX(IM!$X$2:$X$652, MATCH(1, (IM!$F$2:$F$652=A99) * (ISNUMBER(SEARCH($D$1, IM!$AC$2:$AC$652))), 0)), "")</f>
        <v/>
      </c>
      <c r="P99" s="196" t="str">
        <f t="shared" si="23"/>
        <v>-4529-淡水新洲店(定保)</v>
      </c>
      <c r="Q99" s="144"/>
      <c r="R99" s="144"/>
      <c r="S99" s="144"/>
      <c r="T99" s="144"/>
      <c r="U99" s="305">
        <f t="shared" si="24"/>
        <v>2</v>
      </c>
      <c r="V99" s="289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4">
        <v>2749</v>
      </c>
      <c r="B100" s="185" t="s">
        <v>132</v>
      </c>
      <c r="C100" s="186" t="str">
        <f>VLOOKUP($A100,'0919門市清單主檔'!B:V,20,FALSE)</f>
        <v>新北市</v>
      </c>
      <c r="D100" s="187" t="str">
        <f>VLOOKUP($A100,'0919門市清單主檔'!B:V,21,FALSE)</f>
        <v>淡水區</v>
      </c>
      <c r="E100" s="188" t="str">
        <f>VLOOKUP(D100,區域表!A:B,2,FALSE)</f>
        <v>吳宗鴻</v>
      </c>
      <c r="F100" s="189" t="str">
        <f>IFERROR(IF(VLOOKUP(A100,門市狀態!A:D,4,FALSE)=0,"",VLOOKUP(A100,門市狀態!A:D,4,FALSE)),"")</f>
        <v/>
      </c>
      <c r="G100" s="190" t="s">
        <v>1749</v>
      </c>
      <c r="H100" s="191" t="str">
        <f t="shared" si="22"/>
        <v>-2749-淡水灰瑤子(定保)</v>
      </c>
      <c r="I100" s="195" t="s">
        <v>1749</v>
      </c>
      <c r="J100" s="193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5" t="str" cm="1">
        <f t="array" ref="L100">IF(K100&gt;0,IFERROR(HYPERLINK("#'IM'!AC"&amp;MATCH(1,(IM!$F$1:$F$7702=A100)*(ISNUMBER(SEARCH("PMQ2",IM!$AC$1:$AC$7702))),0),"檢核"),"未登錄"),"")</f>
        <v/>
      </c>
      <c r="M100" s="268" t="str" cm="1">
        <f t="array" ref="M100">IF(AND(SUMPRODUCT((IM!F2:F733=A100)*(ISNUMBER(SEARCH("EDC", IM!AC2:AC733))))&gt;0), "EDC", "")</f>
        <v/>
      </c>
      <c r="N100" s="311" t="str" cm="1">
        <f t="array" ref="N100">IF(AND(SUMPRODUCT((IM!F2:F733=A100)*(ISNUMBER(SEARCH("STAR", IM!AC2:AC733))))&gt;0), "STAR", "")</f>
        <v/>
      </c>
      <c r="O100" s="302" t="str" cm="1">
        <f t="array" ref="O100">IFERROR(INDEX(IM!$X$2:$X$652, MATCH(1, (IM!$F$2:$F$652=A100) * (ISNUMBER(SEARCH($D$1, IM!$AC$2:$AC$652))), 0)), "")</f>
        <v/>
      </c>
      <c r="P100" s="196" t="str">
        <f t="shared" si="23"/>
        <v>-2749-淡水灰瑤子(定保)</v>
      </c>
      <c r="Q100" s="144"/>
      <c r="R100" s="144"/>
      <c r="S100" s="144"/>
      <c r="T100" s="144"/>
      <c r="U100" s="305">
        <f t="shared" si="24"/>
        <v>2</v>
      </c>
      <c r="V100" s="289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4">
        <v>4511</v>
      </c>
      <c r="B101" s="185" t="s">
        <v>420</v>
      </c>
      <c r="C101" s="186" t="str">
        <f>VLOOKUP($A101,'0919門市清單主檔'!B:V,20,FALSE)</f>
        <v>新北市</v>
      </c>
      <c r="D101" s="187" t="str">
        <f>VLOOKUP($A101,'0919門市清單主檔'!B:V,21,FALSE)</f>
        <v>淡水區</v>
      </c>
      <c r="E101" s="188" t="str">
        <f>VLOOKUP(D101,區域表!A:B,2,FALSE)</f>
        <v>吳宗鴻</v>
      </c>
      <c r="F101" s="189" t="str">
        <f>IFERROR(IF(VLOOKUP(A101,門市狀態!A:D,4,FALSE)=0,"",VLOOKUP(A101,門市狀態!A:D,4,FALSE)),"")</f>
        <v/>
      </c>
      <c r="G101" s="190" t="s">
        <v>1749</v>
      </c>
      <c r="H101" s="191" t="str">
        <f t="shared" si="22"/>
        <v>-4511-淡水屯山店(定保)</v>
      </c>
      <c r="I101" s="195" t="s">
        <v>1749</v>
      </c>
      <c r="J101" s="193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5" t="str" cm="1">
        <f t="array" ref="L101">IF(K101&gt;0,IFERROR(HYPERLINK("#'IM'!AC"&amp;MATCH(1,(IM!$F$1:$F$7702=A101)*(ISNUMBER(SEARCH("PMQ2",IM!$AC$1:$AC$7702))),0),"檢核"),"未登錄"),"")</f>
        <v/>
      </c>
      <c r="M101" s="268" t="str" cm="1">
        <f t="array" ref="M101">IF(AND(SUMPRODUCT((IM!F2:F734=A101)*(ISNUMBER(SEARCH("EDC", IM!AC2:AC734))))&gt;0), "EDC", "")</f>
        <v/>
      </c>
      <c r="N101" s="311" t="str" cm="1">
        <f t="array" ref="N101">IF(AND(SUMPRODUCT((IM!F2:F734=A101)*(ISNUMBER(SEARCH("STAR", IM!AC2:AC734))))&gt;0), "STAR", "")</f>
        <v/>
      </c>
      <c r="O101" s="302" t="str" cm="1">
        <f t="array" ref="O101">IFERROR(INDEX(IM!$X$2:$X$652, MATCH(1, (IM!$F$2:$F$652=A101) * (ISNUMBER(SEARCH($D$1, IM!$AC$2:$AC$652))), 0)), "")</f>
        <v/>
      </c>
      <c r="P101" s="196" t="str">
        <f t="shared" si="23"/>
        <v>-4511-淡水屯山店(定保)</v>
      </c>
      <c r="Q101" s="144"/>
      <c r="R101" s="144"/>
      <c r="S101" s="144"/>
      <c r="T101" s="144"/>
      <c r="U101" s="305">
        <f t="shared" si="24"/>
        <v>0</v>
      </c>
      <c r="V101" s="289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4">
        <v>2237</v>
      </c>
      <c r="B102" s="185" t="s">
        <v>79</v>
      </c>
      <c r="C102" s="186" t="str">
        <f>VLOOKUP($A102,'0919門市清單主檔'!B:V,20,FALSE)</f>
        <v>新北市</v>
      </c>
      <c r="D102" s="187" t="str">
        <f>VLOOKUP($A102,'0919門市清單主檔'!B:V,21,FALSE)</f>
        <v>三芝區</v>
      </c>
      <c r="E102" s="188" t="str">
        <f>VLOOKUP(D102,區域表!A:B,2,FALSE)</f>
        <v>吳宗鴻</v>
      </c>
      <c r="F102" s="189" t="str">
        <f>IFERROR(IF(VLOOKUP(A102,門市狀態!A:D,4,FALSE)=0,"",VLOOKUP(A102,門市狀態!A:D,4,FALSE)),"")</f>
        <v/>
      </c>
      <c r="G102" s="190" t="s">
        <v>1749</v>
      </c>
      <c r="H102" s="191" t="str">
        <f t="shared" si="22"/>
        <v>-2237-北縣芝蘭店(定保)</v>
      </c>
      <c r="I102" s="195" t="s">
        <v>1749</v>
      </c>
      <c r="J102" s="193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5" t="str" cm="1">
        <f t="array" ref="L102">IF(K102&gt;0,IFERROR(HYPERLINK("#'IM'!AC"&amp;MATCH(1,(IM!$F$1:$F$7702=A102)*(ISNUMBER(SEARCH("PMQ2",IM!$AC$1:$AC$7702))),0),"檢核"),"未登錄"),"")</f>
        <v/>
      </c>
      <c r="M102" s="268" t="str" cm="1">
        <f t="array" ref="M102">IF(AND(SUMPRODUCT((IM!F2:F735=A102)*(ISNUMBER(SEARCH("EDC", IM!AC2:AC735))))&gt;0), "EDC", "")</f>
        <v/>
      </c>
      <c r="N102" s="311" t="str" cm="1">
        <f t="array" ref="N102">IF(AND(SUMPRODUCT((IM!F2:F735=A102)*(ISNUMBER(SEARCH("STAR", IM!AC2:AC735))))&gt;0), "STAR", "")</f>
        <v/>
      </c>
      <c r="O102" s="302" t="str" cm="1">
        <f t="array" ref="O102">IFERROR(INDEX(IM!$X$2:$X$652, MATCH(1, (IM!$F$2:$F$652=A102) * (ISNUMBER(SEARCH($D$1, IM!$AC$2:$AC$652))), 0)), "")</f>
        <v/>
      </c>
      <c r="P102" s="196" t="str">
        <f t="shared" si="23"/>
        <v>-2237-北縣芝蘭店(定保)</v>
      </c>
      <c r="Q102" s="144"/>
      <c r="R102" s="144"/>
      <c r="S102" s="144"/>
      <c r="T102" s="144"/>
      <c r="U102" s="305">
        <f t="shared" si="24"/>
        <v>2</v>
      </c>
      <c r="V102" s="289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4">
        <v>3921</v>
      </c>
      <c r="B103" s="185" t="s">
        <v>266</v>
      </c>
      <c r="C103" s="186" t="str">
        <f>VLOOKUP($A103,'0919門市清單主檔'!B:V,20,FALSE)</f>
        <v>新北市</v>
      </c>
      <c r="D103" s="187" t="str">
        <f>VLOOKUP($A103,'0919門市清單主檔'!B:V,21,FALSE)</f>
        <v>五股區</v>
      </c>
      <c r="E103" s="188" t="str">
        <f>VLOOKUP(D103,區域表!A:B,2,FALSE)</f>
        <v>湯家瑋</v>
      </c>
      <c r="F103" s="189" t="str">
        <f>IFERROR(IF(VLOOKUP(A103,門市狀態!A:D,4,FALSE)=0,"",VLOOKUP(A103,門市狀態!A:D,4,FALSE)),"")</f>
        <v/>
      </c>
      <c r="G103" s="190" t="s">
        <v>1749</v>
      </c>
      <c r="H103" s="191" t="str">
        <f t="shared" si="22"/>
        <v>-3921-五股福鑫店(定保)</v>
      </c>
      <c r="I103" s="195" t="s">
        <v>1749</v>
      </c>
      <c r="J103" s="193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5" t="str" cm="1">
        <f t="array" ref="L103">IF(K103&gt;0,IFERROR(HYPERLINK("#'IM'!AC"&amp;MATCH(1,(IM!$F$1:$F$7702=A103)*(ISNUMBER(SEARCH("PMQ2",IM!$AC$1:$AC$7702))),0),"檢核"),"未登錄"),"")</f>
        <v/>
      </c>
      <c r="M103" s="268" t="str" cm="1">
        <f t="array" ref="M103">IF(AND(SUMPRODUCT((IM!F2:F736=A103)*(ISNUMBER(SEARCH("EDC", IM!AC2:AC736))))&gt;0), "EDC", "")</f>
        <v/>
      </c>
      <c r="N103" s="311" t="str" cm="1">
        <f t="array" ref="N103">IF(AND(SUMPRODUCT((IM!F2:F736=A103)*(ISNUMBER(SEARCH("STAR", IM!AC2:AC736))))&gt;0), "STAR", "")</f>
        <v/>
      </c>
      <c r="O103" s="302" t="str" cm="1">
        <f t="array" ref="O103">IFERROR(INDEX(IM!$X$2:$X$652, MATCH(1, (IM!$F$2:$F$652=A103) * (ISNUMBER(SEARCH($D$1, IM!$AC$2:$AC$652))), 0)), "")</f>
        <v/>
      </c>
      <c r="P103" s="196" t="str">
        <f t="shared" si="23"/>
        <v>-3921-五股福鑫店(定保)</v>
      </c>
      <c r="Q103" s="144"/>
      <c r="R103" s="144"/>
      <c r="S103" s="144"/>
      <c r="T103" s="144"/>
      <c r="U103" s="305">
        <f t="shared" si="24"/>
        <v>2</v>
      </c>
      <c r="V103" s="289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4">
        <v>4316</v>
      </c>
      <c r="B104" s="185" t="s">
        <v>366</v>
      </c>
      <c r="C104" s="186" t="str">
        <f>VLOOKUP($A104,'0919門市清單主檔'!B:V,20,FALSE)</f>
        <v>新北市</v>
      </c>
      <c r="D104" s="187" t="str">
        <f>VLOOKUP($A104,'0919門市清單主檔'!B:V,21,FALSE)</f>
        <v>五股區</v>
      </c>
      <c r="E104" s="188" t="str">
        <f>VLOOKUP(D104,區域表!A:B,2,FALSE)</f>
        <v>湯家瑋</v>
      </c>
      <c r="F104" s="189" t="str">
        <f>IFERROR(IF(VLOOKUP(A104,門市狀態!A:D,4,FALSE)=0,"",VLOOKUP(A104,門市狀態!A:D,4,FALSE)),"")</f>
        <v/>
      </c>
      <c r="G104" s="190" t="s">
        <v>1749</v>
      </c>
      <c r="H104" s="191" t="str">
        <f t="shared" si="22"/>
        <v>-4316-五股工商店(定保)</v>
      </c>
      <c r="I104" s="195" t="s">
        <v>1749</v>
      </c>
      <c r="J104" s="193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5" t="str" cm="1">
        <f t="array" ref="L104">IF(K104&gt;0,IFERROR(HYPERLINK("#'IM'!AC"&amp;MATCH(1,(IM!$F$1:$F$7702=A104)*(ISNUMBER(SEARCH("PMQ2",IM!$AC$1:$AC$7702))),0),"檢核"),"未登錄"),"")</f>
        <v/>
      </c>
      <c r="M104" s="268" t="str" cm="1">
        <f t="array" ref="M104">IF(AND(SUMPRODUCT((IM!F2:F737=A104)*(ISNUMBER(SEARCH("EDC", IM!AC2:AC737))))&gt;0), "EDC", "")</f>
        <v/>
      </c>
      <c r="N104" s="311" t="str" cm="1">
        <f t="array" ref="N104">IF(AND(SUMPRODUCT((IM!F2:F737=A104)*(ISNUMBER(SEARCH("STAR", IM!AC2:AC737))))&gt;0), "STAR", "")</f>
        <v>STAR</v>
      </c>
      <c r="O104" s="302" cm="1">
        <f t="array" ref="O104">IFERROR(INDEX(IM!$X$2:$X$652, MATCH(1, (IM!$F$2:$F$652=A104) * (ISNUMBER(SEARCH($D$1, IM!$AC$2:$AC$652))), 0)), "")</f>
        <v>45726.465277777781</v>
      </c>
      <c r="P104" s="196" t="str">
        <f t="shared" si="23"/>
        <v>-4316-五股工商店(定保)</v>
      </c>
      <c r="Q104" s="144"/>
      <c r="R104" s="144"/>
      <c r="S104" s="144"/>
      <c r="T104" s="144"/>
      <c r="U104" s="305">
        <f t="shared" si="24"/>
        <v>0</v>
      </c>
      <c r="V104" s="289" t="str">
        <f t="shared" si="25"/>
        <v>未到店</v>
      </c>
      <c r="X104" s="5"/>
      <c r="Y104" s="342" t="s">
        <v>5066</v>
      </c>
    </row>
    <row r="105" spans="1:25" ht="15.75" customHeight="1">
      <c r="A105" s="184">
        <v>4844</v>
      </c>
      <c r="B105" s="185" t="s">
        <v>544</v>
      </c>
      <c r="C105" s="186" t="str">
        <f>VLOOKUP($A105,'0919門市清單主檔'!B:V,20,FALSE)</f>
        <v>新北市</v>
      </c>
      <c r="D105" s="187" t="str">
        <f>VLOOKUP($A105,'0919門市清單主檔'!B:V,21,FALSE)</f>
        <v>三芝區</v>
      </c>
      <c r="E105" s="188" t="str">
        <f>VLOOKUP(D105,區域表!A:B,2,FALSE)</f>
        <v>吳宗鴻</v>
      </c>
      <c r="F105" s="189" t="str">
        <f>IFERROR(IF(VLOOKUP(A105,門市狀態!A:D,4,FALSE)=0,"",VLOOKUP(A105,門市狀態!A:D,4,FALSE)),"")</f>
        <v/>
      </c>
      <c r="G105" s="190" t="s">
        <v>1749</v>
      </c>
      <c r="H105" s="191" t="str">
        <f t="shared" si="22"/>
        <v>-4844-三芝天涯店(定保)</v>
      </c>
      <c r="I105" s="195" t="s">
        <v>1749</v>
      </c>
      <c r="J105" s="193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5" t="str" cm="1">
        <f t="array" ref="L105">IF(K105&gt;0,IFERROR(HYPERLINK("#'IM'!AC"&amp;MATCH(1,(IM!$F$1:$F$7702=A105)*(ISNUMBER(SEARCH("PMQ2",IM!$AC$1:$AC$7702))),0),"檢核"),"未登錄"),"")</f>
        <v/>
      </c>
      <c r="M105" s="268" t="str" cm="1">
        <f t="array" ref="M105">IF(AND(SUMPRODUCT((IM!F2:F738=A105)*(ISNUMBER(SEARCH("EDC", IM!AC2:AC738))))&gt;0), "EDC", "")</f>
        <v/>
      </c>
      <c r="N105" s="311" t="str" cm="1">
        <f t="array" ref="N105">IF(AND(SUMPRODUCT((IM!F2:F738=A105)*(ISNUMBER(SEARCH("STAR", IM!AC2:AC738))))&gt;0), "STAR", "")</f>
        <v/>
      </c>
      <c r="O105" s="302" t="str" cm="1">
        <f t="array" ref="O105">IFERROR(INDEX(IM!$X$2:$X$652, MATCH(1, (IM!$F$2:$F$652=A105) * (ISNUMBER(SEARCH($D$1, IM!$AC$2:$AC$652))), 0)), "")</f>
        <v/>
      </c>
      <c r="P105" s="196" t="str">
        <f t="shared" si="23"/>
        <v>-4844-三芝天涯店(定保)</v>
      </c>
      <c r="Q105" s="144"/>
      <c r="R105" s="144"/>
      <c r="S105" s="144"/>
      <c r="T105" s="144"/>
      <c r="U105" s="305">
        <f t="shared" si="24"/>
        <v>0</v>
      </c>
      <c r="V105" s="289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4">
        <v>4538</v>
      </c>
      <c r="B106" s="185" t="s">
        <v>434</v>
      </c>
      <c r="C106" s="186" t="str">
        <f>VLOOKUP($A106,'0919門市清單主檔'!B:V,20,FALSE)</f>
        <v>新北市</v>
      </c>
      <c r="D106" s="187" t="str">
        <f>VLOOKUP($A106,'0919門市清單主檔'!B:V,21,FALSE)</f>
        <v>林口區</v>
      </c>
      <c r="E106" s="188" t="str">
        <f>VLOOKUP(D106,區域表!A:B,2,FALSE)</f>
        <v>湯家瑋</v>
      </c>
      <c r="F106" s="189" t="str">
        <f>IFERROR(IF(VLOOKUP(A106,門市狀態!A:D,4,FALSE)=0,"",VLOOKUP(A106,門市狀態!A:D,4,FALSE)),"")</f>
        <v/>
      </c>
      <c r="G106" s="190" t="s">
        <v>1749</v>
      </c>
      <c r="H106" s="191" t="str">
        <f t="shared" si="22"/>
        <v>-4538-林口童樂店(定保)</v>
      </c>
      <c r="I106" s="195" t="s">
        <v>1749</v>
      </c>
      <c r="J106" s="193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5" t="str" cm="1">
        <f t="array" ref="L106">IF(K106&gt;0,IFERROR(HYPERLINK("#'IM'!AC"&amp;MATCH(1,(IM!$F$1:$F$7702=A106)*(ISNUMBER(SEARCH("PMQ2",IM!$AC$1:$AC$7702))),0),"檢核"),"未登錄"),"")</f>
        <v/>
      </c>
      <c r="M106" s="268" t="str" cm="1">
        <f t="array" ref="M106">IF(AND(SUMPRODUCT((IM!F2:F739=A106)*(ISNUMBER(SEARCH("EDC", IM!AC2:AC739))))&gt;0), "EDC", "")</f>
        <v/>
      </c>
      <c r="N106" s="311" t="str" cm="1">
        <f t="array" ref="N106">IF(AND(SUMPRODUCT((IM!F2:F739=A106)*(ISNUMBER(SEARCH("STAR", IM!AC2:AC739))))&gt;0), "STAR", "")</f>
        <v/>
      </c>
      <c r="O106" s="302" t="str" cm="1">
        <f t="array" ref="O106">IFERROR(INDEX(IM!$X$2:$X$652, MATCH(1, (IM!$F$2:$F$652=A106) * (ISNUMBER(SEARCH($D$1, IM!$AC$2:$AC$652))), 0)), "")</f>
        <v/>
      </c>
      <c r="P106" s="196" t="str">
        <f t="shared" si="23"/>
        <v>-4538-林口童樂店(定保)</v>
      </c>
      <c r="Q106" s="144"/>
      <c r="R106" s="144"/>
      <c r="S106" s="144"/>
      <c r="T106" s="144"/>
      <c r="U106" s="305">
        <f t="shared" si="24"/>
        <v>0</v>
      </c>
      <c r="V106" s="289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7">
        <v>3878</v>
      </c>
      <c r="B107" s="185" t="s">
        <v>254</v>
      </c>
      <c r="C107" s="198" t="str">
        <f>VLOOKUP($A107,'0919門市清單主檔'!B:V,20,FALSE)</f>
        <v>新北市</v>
      </c>
      <c r="D107" s="199" t="str">
        <f>VLOOKUP($A107,'0919門市清單主檔'!B:V,21,FALSE)</f>
        <v>林口區</v>
      </c>
      <c r="E107" s="188" t="str">
        <f>VLOOKUP(D107,區域表!A:B,2,FALSE)</f>
        <v>湯家瑋</v>
      </c>
      <c r="F107" s="189" t="str">
        <f>IFERROR(IF(VLOOKUP(A107,門市狀態!A:D,4,FALSE)=0,"",VLOOKUP(A107,門市狀態!A:D,4,FALSE)),"")</f>
        <v/>
      </c>
      <c r="G107" s="190" t="s">
        <v>1749</v>
      </c>
      <c r="H107" s="191" t="str">
        <f t="shared" si="22"/>
        <v>-3878-林口清梅店(定保)</v>
      </c>
      <c r="I107" s="195" t="s">
        <v>1749</v>
      </c>
      <c r="J107" s="193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5" t="str" cm="1">
        <f t="array" ref="L107">IF(K107&gt;0,IFERROR(HYPERLINK("#'IM'!AC"&amp;MATCH(1,(IM!$F$1:$F$7702=A107)*(ISNUMBER(SEARCH("PMQ2",IM!$AC$1:$AC$7702))),0),"檢核"),"未登錄"),"")</f>
        <v/>
      </c>
      <c r="M107" s="268" t="str" cm="1">
        <f t="array" ref="M107">IF(AND(SUMPRODUCT((IM!F2:F740=A107)*(ISNUMBER(SEARCH("EDC", IM!AC2:AC740))))&gt;0), "EDC", "")</f>
        <v/>
      </c>
      <c r="N107" s="311" t="str" cm="1">
        <f t="array" ref="N107">IF(AND(SUMPRODUCT((IM!F2:F740=A107)*(ISNUMBER(SEARCH("STAR", IM!AC2:AC740))))&gt;0), "STAR", "")</f>
        <v/>
      </c>
      <c r="O107" s="302" t="str" cm="1">
        <f t="array" ref="O107">IFERROR(INDEX(IM!$X$2:$X$652, MATCH(1, (IM!$F$2:$F$652=A107) * (ISNUMBER(SEARCH($D$1, IM!$AC$2:$AC$652))), 0)), "")</f>
        <v/>
      </c>
      <c r="P107" s="196" t="str">
        <f t="shared" si="23"/>
        <v>-3878-林口清梅店(定保)</v>
      </c>
      <c r="Q107" s="144"/>
      <c r="R107" s="144"/>
      <c r="S107" s="144"/>
      <c r="T107" s="144"/>
      <c r="U107" s="305">
        <f t="shared" si="24"/>
        <v>1</v>
      </c>
      <c r="V107" s="289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4">
        <v>4514</v>
      </c>
      <c r="B108" s="185" t="s">
        <v>422</v>
      </c>
      <c r="C108" s="186" t="str">
        <f>VLOOKUP($A108,'0919門市清單主檔'!B:V,20,FALSE)</f>
        <v>新北市</v>
      </c>
      <c r="D108" s="187" t="str">
        <f>VLOOKUP($A108,'0919門市清單主檔'!B:V,21,FALSE)</f>
        <v>林口區</v>
      </c>
      <c r="E108" s="188" t="str">
        <f>VLOOKUP(D108,區域表!A:B,2,FALSE)</f>
        <v>湯家瑋</v>
      </c>
      <c r="F108" s="189" t="str">
        <f>IFERROR(IF(VLOOKUP(A108,門市狀態!A:D,4,FALSE)=0,"",VLOOKUP(A108,門市狀態!A:D,4,FALSE)),"")</f>
        <v/>
      </c>
      <c r="G108" s="190" t="s">
        <v>1749</v>
      </c>
      <c r="H108" s="191" t="str">
        <f t="shared" si="22"/>
        <v>-4514-林口老師店(定保)</v>
      </c>
      <c r="I108" s="195" t="s">
        <v>1749</v>
      </c>
      <c r="J108" s="193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5" t="str" cm="1">
        <f t="array" ref="L108">IF(K108&gt;0,IFERROR(HYPERLINK("#'IM'!AC"&amp;MATCH(1,(IM!$F$1:$F$7702=A108)*(ISNUMBER(SEARCH("PMQ2",IM!$AC$1:$AC$7702))),0),"檢核"),"未登錄"),"")</f>
        <v/>
      </c>
      <c r="M108" s="268" t="str" cm="1">
        <f t="array" ref="M108">IF(AND(SUMPRODUCT((IM!F2:F741=A108)*(ISNUMBER(SEARCH("EDC", IM!AC2:AC741))))&gt;0), "EDC", "")</f>
        <v/>
      </c>
      <c r="N108" s="311" t="str" cm="1">
        <f t="array" ref="N108">IF(AND(SUMPRODUCT((IM!F2:F741=A108)*(ISNUMBER(SEARCH("STAR", IM!AC2:AC741))))&gt;0), "STAR", "")</f>
        <v/>
      </c>
      <c r="O108" s="302" t="str" cm="1">
        <f t="array" ref="O108">IFERROR(INDEX(IM!$X$2:$X$652, MATCH(1, (IM!$F$2:$F$652=A108) * (ISNUMBER(SEARCH($D$1, IM!$AC$2:$AC$652))), 0)), "")</f>
        <v/>
      </c>
      <c r="P108" s="196" t="str">
        <f t="shared" si="23"/>
        <v>-4514-林口老師店(定保)</v>
      </c>
      <c r="Q108" s="144"/>
      <c r="R108" s="144"/>
      <c r="S108" s="144"/>
      <c r="T108" s="144"/>
      <c r="U108" s="305">
        <f t="shared" si="24"/>
        <v>0</v>
      </c>
      <c r="V108" s="289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4">
        <v>4083</v>
      </c>
      <c r="B109" s="185" t="s">
        <v>1521</v>
      </c>
      <c r="C109" s="186" t="str">
        <f>VLOOKUP($A109,'0919門市清單主檔'!B:V,20,FALSE)</f>
        <v>新北市</v>
      </c>
      <c r="D109" s="187" t="str">
        <f>VLOOKUP($A109,'0919門市清單主檔'!B:V,21,FALSE)</f>
        <v>三重區</v>
      </c>
      <c r="E109" s="188" t="str">
        <f>VLOOKUP(D109,區域表!A:B,2,FALSE)</f>
        <v>吳宗鴻</v>
      </c>
      <c r="F109" s="189" t="str">
        <f>IFERROR(IF(VLOOKUP(A109,門市狀態!A:D,4,FALSE)=0,"",VLOOKUP(A109,門市狀態!A:D,4,FALSE)),"")</f>
        <v/>
      </c>
      <c r="G109" s="190" t="s">
        <v>1749</v>
      </c>
      <c r="H109" s="191" t="str">
        <f t="shared" si="22"/>
        <v>-4083-三重中央南(定保)</v>
      </c>
      <c r="I109" s="195" t="s">
        <v>1749</v>
      </c>
      <c r="J109" s="193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5" t="str" cm="1">
        <f t="array" ref="L109">IF(K109&gt;0,IFERROR(HYPERLINK("#'IM'!AC"&amp;MATCH(1,(IM!$F$1:$F$7702=A109)*(ISNUMBER(SEARCH("PMQ2",IM!$AC$1:$AC$7702))),0),"檢核"),"未登錄"),"")</f>
        <v/>
      </c>
      <c r="M109" s="268" t="str" cm="1">
        <f t="array" ref="M109">IF(AND(SUMPRODUCT((IM!F2:F742=A109)*(ISNUMBER(SEARCH("EDC", IM!AC2:AC742))))&gt;0), "EDC", "")</f>
        <v/>
      </c>
      <c r="N109" s="311" t="str" cm="1">
        <f t="array" ref="N109">IF(AND(SUMPRODUCT((IM!F2:F742=A109)*(ISNUMBER(SEARCH("STAR", IM!AC2:AC742))))&gt;0), "STAR", "")</f>
        <v/>
      </c>
      <c r="O109" s="302" t="str" cm="1">
        <f t="array" ref="O109">IFERROR(INDEX(IM!$X$2:$X$652, MATCH(1, (IM!$F$2:$F$652=A109) * (ISNUMBER(SEARCH($D$1, IM!$AC$2:$AC$652))), 0)), "")</f>
        <v/>
      </c>
      <c r="P109" s="196" t="str">
        <f t="shared" si="23"/>
        <v>-4083-三重中央南(定保)</v>
      </c>
      <c r="Q109" s="144"/>
      <c r="R109" s="144"/>
      <c r="S109" s="144"/>
      <c r="T109" s="144"/>
      <c r="U109" s="305">
        <f t="shared" si="24"/>
        <v>2</v>
      </c>
      <c r="V109" s="289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4" t="s">
        <v>48</v>
      </c>
      <c r="B110" s="185" t="s">
        <v>746</v>
      </c>
      <c r="C110" s="186" t="str">
        <f>VLOOKUP($A110,'0919門市清單主檔'!B:V,20,FALSE)</f>
        <v>新北市</v>
      </c>
      <c r="D110" s="187" t="str">
        <f>VLOOKUP($A110,'0919門市清單主檔'!B:V,21,FALSE)</f>
        <v>新莊區</v>
      </c>
      <c r="E110" s="188" t="str">
        <f>VLOOKUP(D110,區域表!A:B,2,FALSE)</f>
        <v>湯家瑋</v>
      </c>
      <c r="F110" s="189" t="str">
        <f>IFERROR(IF(VLOOKUP(A110,門市狀態!A:D,4,FALSE)=0,"",VLOOKUP(A110,門市狀態!A:D,4,FALSE)),"")</f>
        <v/>
      </c>
      <c r="G110" s="190" t="s">
        <v>1750</v>
      </c>
      <c r="H110" s="191" t="str">
        <f t="shared" si="22"/>
        <v>-L535-田倉新樹店(定保)</v>
      </c>
      <c r="I110" s="195" t="s">
        <v>1749</v>
      </c>
      <c r="J110" s="193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5" t="str" cm="1">
        <f t="array" ref="L110">IF(K110&gt;0,IFERROR(HYPERLINK("#'IM'!AC"&amp;MATCH(1,(IM!$F$1:$F$7702=A110)*(ISNUMBER(SEARCH("PMQ2",IM!$AC$1:$AC$7702))),0),"檢核"),"未登錄"),"")</f>
        <v/>
      </c>
      <c r="M110" s="268" t="str" cm="1">
        <f t="array" ref="M110">IF(AND(SUMPRODUCT((IM!F2:F743=A110)*(ISNUMBER(SEARCH("EDC", IM!AC2:AC743))))&gt;0), "EDC", "")</f>
        <v/>
      </c>
      <c r="N110" s="311" t="str" cm="1">
        <f t="array" ref="N110">IF(AND(SUMPRODUCT((IM!F2:F743=A110)*(ISNUMBER(SEARCH("STAR", IM!AC2:AC743))))&gt;0), "STAR", "")</f>
        <v/>
      </c>
      <c r="O110" s="302" t="str" cm="1">
        <f t="array" ref="O110">IFERROR(INDEX(IM!$X$2:$X$652, MATCH(1, (IM!$F$2:$F$652=A110) * (ISNUMBER(SEARCH($D$1, IM!$AC$2:$AC$652))), 0)), "")</f>
        <v/>
      </c>
      <c r="P110" s="196" t="str">
        <f t="shared" si="23"/>
        <v>-L535-田倉新樹店(定保)</v>
      </c>
      <c r="Q110" s="144"/>
      <c r="R110" s="144"/>
      <c r="S110" s="144"/>
      <c r="T110" s="144"/>
      <c r="U110" s="305">
        <f t="shared" si="24"/>
        <v>1</v>
      </c>
      <c r="V110" s="289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4">
        <v>2109</v>
      </c>
      <c r="B111" s="185" t="s">
        <v>67</v>
      </c>
      <c r="C111" s="186" t="str">
        <f>VLOOKUP($A111,'0919門市清單主檔'!B:V,20,FALSE)</f>
        <v>新北市</v>
      </c>
      <c r="D111" s="187" t="str">
        <f>VLOOKUP($A111,'0919門市清單主檔'!B:V,21,FALSE)</f>
        <v>新莊區</v>
      </c>
      <c r="E111" s="188" t="str">
        <f>VLOOKUP(D111,區域表!A:B,2,FALSE)</f>
        <v>湯家瑋</v>
      </c>
      <c r="F111" s="189" t="str">
        <f>IFERROR(IF(VLOOKUP(A111,門市狀態!A:D,4,FALSE)=0,"",VLOOKUP(A111,門市狀態!A:D,4,FALSE)),"")</f>
        <v/>
      </c>
      <c r="G111" s="190" t="s">
        <v>1749</v>
      </c>
      <c r="H111" s="191" t="str">
        <f t="shared" si="22"/>
        <v>-2109-北縣瓊林南店(定保)</v>
      </c>
      <c r="I111" s="195" t="s">
        <v>1749</v>
      </c>
      <c r="J111" s="193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5" t="str" cm="1">
        <f t="array" ref="L111">IF(K111&gt;0,IFERROR(HYPERLINK("#'IM'!AC"&amp;MATCH(1,(IM!$F$1:$F$7702=A111)*(ISNUMBER(SEARCH("PMQ2",IM!$AC$1:$AC$7702))),0),"檢核"),"未登錄"),"")</f>
        <v/>
      </c>
      <c r="M111" s="268" t="str" cm="1">
        <f t="array" ref="M111">IF(AND(SUMPRODUCT((IM!F2:F744=A111)*(ISNUMBER(SEARCH("EDC", IM!AC2:AC744))))&gt;0), "EDC", "")</f>
        <v/>
      </c>
      <c r="N111" s="311" t="str" cm="1">
        <f t="array" ref="N111">IF(AND(SUMPRODUCT((IM!F2:F744=A111)*(ISNUMBER(SEARCH("STAR", IM!AC2:AC744))))&gt;0), "STAR", "")</f>
        <v/>
      </c>
      <c r="O111" s="302" t="str" cm="1">
        <f t="array" ref="O111">IFERROR(INDEX(IM!$X$2:$X$652, MATCH(1, (IM!$F$2:$F$652=A111) * (ISNUMBER(SEARCH($D$1, IM!$AC$2:$AC$652))), 0)), "")</f>
        <v/>
      </c>
      <c r="P111" s="196" t="str">
        <f t="shared" si="23"/>
        <v>-2109-北縣瓊林南店(定保)</v>
      </c>
      <c r="Q111" s="144"/>
      <c r="R111" s="144"/>
      <c r="S111" s="144"/>
      <c r="T111" s="144"/>
      <c r="U111" s="305">
        <f t="shared" si="24"/>
        <v>2</v>
      </c>
      <c r="V111" s="289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4" t="s">
        <v>22</v>
      </c>
      <c r="B112" s="185" t="s">
        <v>1566</v>
      </c>
      <c r="C112" s="186" t="str">
        <f>VLOOKUP($A112,'0919門市清單主檔'!B:V,20,FALSE)</f>
        <v>新北市</v>
      </c>
      <c r="D112" s="187" t="str">
        <f>VLOOKUP($A112,'0919門市清單主檔'!B:V,21,FALSE)</f>
        <v>三重區</v>
      </c>
      <c r="E112" s="188" t="str">
        <f>VLOOKUP(D112,區域表!A:B,2,FALSE)</f>
        <v>吳宗鴻</v>
      </c>
      <c r="F112" s="189" t="str">
        <f>IFERROR(IF(VLOOKUP(A112,門市狀態!A:D,4,FALSE)=0,"",VLOOKUP(A112,門市狀態!A:D,4,FALSE)),"")</f>
        <v/>
      </c>
      <c r="G112" s="190" t="s">
        <v>1749</v>
      </c>
      <c r="H112" s="191" t="str">
        <f t="shared" si="22"/>
        <v>-D087-三重中興北(定保)</v>
      </c>
      <c r="I112" s="195" t="s">
        <v>1749</v>
      </c>
      <c r="J112" s="193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5" t="str" cm="1">
        <f t="array" ref="L112">IF(K112&gt;0,IFERROR(HYPERLINK("#'IM'!AC"&amp;MATCH(1,(IM!$F$1:$F$7702=A112)*(ISNUMBER(SEARCH("PMQ2",IM!$AC$1:$AC$7702))),0),"檢核"),"未登錄"),"")</f>
        <v/>
      </c>
      <c r="M112" s="268" t="str" cm="1">
        <f t="array" ref="M112">IF(AND(SUMPRODUCT((IM!F2:F745=A112)*(ISNUMBER(SEARCH("EDC", IM!AC2:AC745))))&gt;0), "EDC", "")</f>
        <v/>
      </c>
      <c r="N112" s="311" t="str" cm="1">
        <f t="array" ref="N112">IF(AND(SUMPRODUCT((IM!F2:F745=A112)*(ISNUMBER(SEARCH("STAR", IM!AC2:AC745))))&gt;0), "STAR", "")</f>
        <v/>
      </c>
      <c r="O112" s="302" t="str" cm="1">
        <f t="array" ref="O112">IFERROR(INDEX(IM!$X$2:$X$652, MATCH(1, (IM!$F$2:$F$652=A112) * (ISNUMBER(SEARCH($D$1, IM!$AC$2:$AC$652))), 0)), "")</f>
        <v/>
      </c>
      <c r="P112" s="196" t="str">
        <f t="shared" si="23"/>
        <v>-D087-三重中興北(定保)</v>
      </c>
      <c r="Q112" s="144"/>
      <c r="R112" s="144"/>
      <c r="S112" s="144"/>
      <c r="T112" s="144"/>
      <c r="U112" s="305">
        <f t="shared" si="24"/>
        <v>1</v>
      </c>
      <c r="V112" s="289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4">
        <v>4208</v>
      </c>
      <c r="B113" s="185" t="s">
        <v>333</v>
      </c>
      <c r="C113" s="186" t="str">
        <f>VLOOKUP($A113,'0919門市清單主檔'!B:V,20,FALSE)</f>
        <v>新北市</v>
      </c>
      <c r="D113" s="187" t="str">
        <f>VLOOKUP($A113,'0919門市清單主檔'!B:V,21,FALSE)</f>
        <v>新莊區</v>
      </c>
      <c r="E113" s="188" t="str">
        <f>VLOOKUP(D113,區域表!A:B,2,FALSE)</f>
        <v>湯家瑋</v>
      </c>
      <c r="F113" s="189" t="str">
        <f>IFERROR(IF(VLOOKUP(A113,門市狀態!A:D,4,FALSE)=0,"",VLOOKUP(A113,門市狀態!A:D,4,FALSE)),"")</f>
        <v/>
      </c>
      <c r="G113" s="190" t="s">
        <v>1749</v>
      </c>
      <c r="H113" s="191" t="str">
        <f t="shared" si="22"/>
        <v>-4208-新莊瓊泰店(定保)</v>
      </c>
      <c r="I113" s="195" t="s">
        <v>1749</v>
      </c>
      <c r="J113" s="193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5" t="str" cm="1">
        <f t="array" ref="L113">IF(K113&gt;0,IFERROR(HYPERLINK("#'IM'!AC"&amp;MATCH(1,(IM!$F$1:$F$7702=A113)*(ISNUMBER(SEARCH("PMQ2",IM!$AC$1:$AC$7702))),0),"檢核"),"未登錄"),"")</f>
        <v/>
      </c>
      <c r="M113" s="268" t="str" cm="1">
        <f t="array" ref="M113">IF(AND(SUMPRODUCT((IM!F2:F746=A113)*(ISNUMBER(SEARCH("EDC", IM!AC2:AC746))))&gt;0), "EDC", "")</f>
        <v/>
      </c>
      <c r="N113" s="311" t="str" cm="1">
        <f t="array" ref="N113">IF(AND(SUMPRODUCT((IM!F2:F746=A113)*(ISNUMBER(SEARCH("STAR", IM!AC2:AC746))))&gt;0), "STAR", "")</f>
        <v/>
      </c>
      <c r="O113" s="302" t="str" cm="1">
        <f t="array" ref="O113">IFERROR(INDEX(IM!$X$2:$X$652, MATCH(1, (IM!$F$2:$F$652=A113) * (ISNUMBER(SEARCH($D$1, IM!$AC$2:$AC$652))), 0)), "")</f>
        <v/>
      </c>
      <c r="P113" s="196" t="str">
        <f t="shared" si="23"/>
        <v>-4208-新莊瓊泰店(定保)</v>
      </c>
      <c r="Q113" s="144"/>
      <c r="R113" s="144"/>
      <c r="S113" s="144"/>
      <c r="T113" s="144"/>
      <c r="U113" s="305">
        <f t="shared" si="24"/>
        <v>0</v>
      </c>
      <c r="V113" s="289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4" t="s">
        <v>23</v>
      </c>
      <c r="B114" s="185" t="s">
        <v>1568</v>
      </c>
      <c r="C114" s="186" t="str">
        <f>VLOOKUP($A114,'0919門市清單主檔'!B:V,20,FALSE)</f>
        <v>新北市</v>
      </c>
      <c r="D114" s="187" t="str">
        <f>VLOOKUP($A114,'0919門市清單主檔'!B:V,21,FALSE)</f>
        <v>三重區</v>
      </c>
      <c r="E114" s="188" t="str">
        <f>VLOOKUP(D114,區域表!A:B,2,FALSE)</f>
        <v>吳宗鴻</v>
      </c>
      <c r="F114" s="189" t="str">
        <f>IFERROR(IF(VLOOKUP(A114,門市狀態!A:D,4,FALSE)=0,"",VLOOKUP(A114,門市狀態!A:D,4,FALSE)),"")</f>
        <v/>
      </c>
      <c r="G114" s="190" t="s">
        <v>1749</v>
      </c>
      <c r="H114" s="191" t="str">
        <f t="shared" si="22"/>
        <v>-D138-三重中興北二(定保)</v>
      </c>
      <c r="I114" s="195" t="s">
        <v>1749</v>
      </c>
      <c r="J114" s="193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5" t="str" cm="1">
        <f t="array" ref="L114">IF(K114&gt;0,IFERROR(HYPERLINK("#'IM'!AC"&amp;MATCH(1,(IM!$F$1:$F$7702=A114)*(ISNUMBER(SEARCH("PMQ2",IM!$AC$1:$AC$7702))),0),"檢核"),"未登錄"),"")</f>
        <v/>
      </c>
      <c r="M114" s="268" t="str" cm="1">
        <f t="array" ref="M114">IF(AND(SUMPRODUCT((IM!F2:F747=A114)*(ISNUMBER(SEARCH("EDC", IM!AC2:AC747))))&gt;0), "EDC", "")</f>
        <v/>
      </c>
      <c r="N114" s="311" t="str" cm="1">
        <f t="array" ref="N114">IF(AND(SUMPRODUCT((IM!F2:F747=A114)*(ISNUMBER(SEARCH("STAR", IM!AC2:AC747))))&gt;0), "STAR", "")</f>
        <v/>
      </c>
      <c r="O114" s="302" t="str" cm="1">
        <f t="array" ref="O114">IFERROR(INDEX(IM!$X$2:$X$652, MATCH(1, (IM!$F$2:$F$652=A114) * (ISNUMBER(SEARCH($D$1, IM!$AC$2:$AC$652))), 0)), "")</f>
        <v/>
      </c>
      <c r="P114" s="196" t="str">
        <f t="shared" si="23"/>
        <v>-D138-三重中興北二(定保)</v>
      </c>
      <c r="Q114" s="144"/>
      <c r="R114" s="144"/>
      <c r="S114" s="144"/>
      <c r="T114" s="144"/>
      <c r="U114" s="305">
        <f t="shared" si="24"/>
        <v>2</v>
      </c>
      <c r="V114" s="289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4">
        <v>2743</v>
      </c>
      <c r="B115" s="185" t="s">
        <v>130</v>
      </c>
      <c r="C115" s="186" t="str">
        <f>VLOOKUP($A115,'0919門市清單主檔'!B:V,20,FALSE)</f>
        <v>新北市</v>
      </c>
      <c r="D115" s="187" t="str">
        <f>VLOOKUP($A115,'0919門市清單主檔'!B:V,21,FALSE)</f>
        <v>新莊區</v>
      </c>
      <c r="E115" s="188" t="str">
        <f>VLOOKUP(D115,區域表!A:B,2,FALSE)</f>
        <v>湯家瑋</v>
      </c>
      <c r="F115" s="189" t="str">
        <f>IFERROR(IF(VLOOKUP(A115,門市狀態!A:D,4,FALSE)=0,"",VLOOKUP(A115,門市狀態!A:D,4,FALSE)),"")</f>
        <v/>
      </c>
      <c r="G115" s="190" t="s">
        <v>1749</v>
      </c>
      <c r="H115" s="191" t="str">
        <f t="shared" si="22"/>
        <v>-2743-新莊豐年店(定保)</v>
      </c>
      <c r="I115" s="195" t="s">
        <v>1749</v>
      </c>
      <c r="J115" s="193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5" t="str" cm="1">
        <f t="array" ref="L115">IF(K115&gt;0,IFERROR(HYPERLINK("#'IM'!AC"&amp;MATCH(1,(IM!$F$1:$F$7702=A115)*(ISNUMBER(SEARCH("PMQ2",IM!$AC$1:$AC$7702))),0),"檢核"),"未登錄"),"")</f>
        <v/>
      </c>
      <c r="M115" s="268" t="str" cm="1">
        <f t="array" ref="M115">IF(AND(SUMPRODUCT((IM!F2:F748=A115)*(ISNUMBER(SEARCH("EDC", IM!AC2:AC748))))&gt;0), "EDC", "")</f>
        <v/>
      </c>
      <c r="N115" s="311" t="str" cm="1">
        <f t="array" ref="N115">IF(AND(SUMPRODUCT((IM!F2:F748=A115)*(ISNUMBER(SEARCH("STAR", IM!AC2:AC748))))&gt;0), "STAR", "")</f>
        <v/>
      </c>
      <c r="O115" s="302" t="str" cm="1">
        <f t="array" ref="O115">IFERROR(INDEX(IM!$X$2:$X$652, MATCH(1, (IM!$F$2:$F$652=A115) * (ISNUMBER(SEARCH($D$1, IM!$AC$2:$AC$652))), 0)), "")</f>
        <v/>
      </c>
      <c r="P115" s="196" t="str">
        <f t="shared" si="23"/>
        <v>-2743-新莊豐年店(定保)</v>
      </c>
      <c r="Q115" s="144"/>
      <c r="R115" s="144"/>
      <c r="S115" s="144"/>
      <c r="T115" s="144"/>
      <c r="U115" s="305">
        <f t="shared" si="24"/>
        <v>1</v>
      </c>
      <c r="V115" s="289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4">
        <v>3785</v>
      </c>
      <c r="B116" s="185" t="s">
        <v>240</v>
      </c>
      <c r="C116" s="186" t="str">
        <f>VLOOKUP($A116,'0919門市清單主檔'!B:V,20,FALSE)</f>
        <v>新北市</v>
      </c>
      <c r="D116" s="187" t="str">
        <f>VLOOKUP($A116,'0919門市清單主檔'!B:V,21,FALSE)</f>
        <v>新莊區</v>
      </c>
      <c r="E116" s="188" t="str">
        <f>VLOOKUP(D116,區域表!A:B,2,FALSE)</f>
        <v>湯家瑋</v>
      </c>
      <c r="F116" s="189" t="str">
        <f>IFERROR(IF(VLOOKUP(A116,門市狀態!A:D,4,FALSE)=0,"",VLOOKUP(A116,門市狀態!A:D,4,FALSE)),"")</f>
        <v/>
      </c>
      <c r="G116" s="190" t="s">
        <v>1749</v>
      </c>
      <c r="H116" s="191" t="str">
        <f t="shared" si="22"/>
        <v>-3785-北縣莊榮店(定保)</v>
      </c>
      <c r="I116" s="195" t="s">
        <v>1749</v>
      </c>
      <c r="J116" s="193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5" t="str" cm="1">
        <f t="array" ref="L116">IF(K116&gt;0,IFERROR(HYPERLINK("#'IM'!AC"&amp;MATCH(1,(IM!$F$1:$F$7702=A116)*(ISNUMBER(SEARCH("PMQ2",IM!$AC$1:$AC$7702))),0),"檢核"),"未登錄"),"")</f>
        <v/>
      </c>
      <c r="M116" s="268" t="str" cm="1">
        <f t="array" ref="M116">IF(AND(SUMPRODUCT((IM!F2:F749=A116)*(ISNUMBER(SEARCH("EDC", IM!AC2:AC749))))&gt;0), "EDC", "")</f>
        <v/>
      </c>
      <c r="N116" s="311" t="str" cm="1">
        <f t="array" ref="N116">IF(AND(SUMPRODUCT((IM!F2:F749=A116)*(ISNUMBER(SEARCH("STAR", IM!AC2:AC749))))&gt;0), "STAR", "")</f>
        <v/>
      </c>
      <c r="O116" s="302" t="str" cm="1">
        <f t="array" ref="O116">IFERROR(INDEX(IM!$X$2:$X$652, MATCH(1, (IM!$F$2:$F$652=A116) * (ISNUMBER(SEARCH($D$1, IM!$AC$2:$AC$652))), 0)), "")</f>
        <v/>
      </c>
      <c r="P116" s="196" t="str">
        <f t="shared" si="23"/>
        <v>-3785-北縣莊榮店(定保)</v>
      </c>
      <c r="Q116" s="144"/>
      <c r="R116" s="144"/>
      <c r="S116" s="144"/>
      <c r="T116" s="144"/>
      <c r="U116" s="305">
        <f t="shared" si="24"/>
        <v>0</v>
      </c>
      <c r="V116" s="289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4">
        <v>4698</v>
      </c>
      <c r="B117" s="185" t="s">
        <v>487</v>
      </c>
      <c r="C117" s="186" t="str">
        <f>VLOOKUP($A117,'0919門市清單主檔'!B:V,20,FALSE)</f>
        <v>新北市</v>
      </c>
      <c r="D117" s="187" t="str">
        <f>VLOOKUP($A117,'0919門市清單主檔'!B:V,21,FALSE)</f>
        <v>三重區</v>
      </c>
      <c r="E117" s="188" t="str">
        <f>VLOOKUP(D117,區域表!A:B,2,FALSE)</f>
        <v>吳宗鴻</v>
      </c>
      <c r="F117" s="189" t="str">
        <f>IFERROR(IF(VLOOKUP(A117,門市狀態!A:D,4,FALSE)=0,"",VLOOKUP(A117,門市狀態!A:D,4,FALSE)),"")</f>
        <v/>
      </c>
      <c r="G117" s="190" t="s">
        <v>1749</v>
      </c>
      <c r="H117" s="191" t="str">
        <f t="shared" si="22"/>
        <v>-4698-三重頂崁店(定保)</v>
      </c>
      <c r="I117" s="195" t="s">
        <v>1749</v>
      </c>
      <c r="J117" s="193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5" t="str" cm="1">
        <f t="array" ref="L117">IF(K117&gt;0,IFERROR(HYPERLINK("#'IM'!AC"&amp;MATCH(1,(IM!$F$1:$F$7702=A117)*(ISNUMBER(SEARCH("PMQ2",IM!$AC$1:$AC$7702))),0),"檢核"),"未登錄"),"")</f>
        <v/>
      </c>
      <c r="M117" s="268" t="str" cm="1">
        <f t="array" ref="M117">IF(AND(SUMPRODUCT((IM!F2:F750=A117)*(ISNUMBER(SEARCH("EDC", IM!AC2:AC750))))&gt;0), "EDC", "")</f>
        <v/>
      </c>
      <c r="N117" s="311" t="str" cm="1">
        <f t="array" ref="N117">IF(AND(SUMPRODUCT((IM!F2:F750=A117)*(ISNUMBER(SEARCH("STAR", IM!AC2:AC750))))&gt;0), "STAR", "")</f>
        <v/>
      </c>
      <c r="O117" s="302" t="str" cm="1">
        <f t="array" ref="O117">IFERROR(INDEX(IM!$X$2:$X$652, MATCH(1, (IM!$F$2:$F$652=A117) * (ISNUMBER(SEARCH($D$1, IM!$AC$2:$AC$652))), 0)), "")</f>
        <v/>
      </c>
      <c r="P117" s="196" t="str">
        <f t="shared" si="23"/>
        <v>-4698-三重頂崁店(定保)</v>
      </c>
      <c r="Q117" s="144"/>
      <c r="R117" s="144"/>
      <c r="S117" s="144"/>
      <c r="T117" s="144"/>
      <c r="U117" s="305">
        <f t="shared" si="24"/>
        <v>2</v>
      </c>
      <c r="V117" s="289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4">
        <v>3183</v>
      </c>
      <c r="B118" s="185" t="s">
        <v>168</v>
      </c>
      <c r="C118" s="186" t="str">
        <f>VLOOKUP($A118,'0919門市清單主檔'!B:V,20,FALSE)</f>
        <v>新北市</v>
      </c>
      <c r="D118" s="187" t="str">
        <f>VLOOKUP($A118,'0919門市清單主檔'!B:V,21,FALSE)</f>
        <v>板橋區</v>
      </c>
      <c r="E118" s="188" t="str">
        <f>VLOOKUP(D118,區域表!A:B,2,FALSE)</f>
        <v>狄澤洋</v>
      </c>
      <c r="F118" s="189" t="str">
        <f>IFERROR(IF(VLOOKUP(A118,門市狀態!A:D,4,FALSE)=0,"",VLOOKUP(A118,門市狀態!A:D,4,FALSE)),"")</f>
        <v/>
      </c>
      <c r="G118" s="190" t="s">
        <v>1749</v>
      </c>
      <c r="H118" s="191" t="str">
        <f t="shared" si="22"/>
        <v>-3183-北縣板好店(定保)</v>
      </c>
      <c r="I118" s="195" t="s">
        <v>1749</v>
      </c>
      <c r="J118" s="193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5" t="str" cm="1">
        <f t="array" ref="L118">IF(K118&gt;0,IFERROR(HYPERLINK("#'IM'!AC"&amp;MATCH(1,(IM!$F$1:$F$7702=A118)*(ISNUMBER(SEARCH("PMQ2",IM!$AC$1:$AC$7702))),0),"檢核"),"未登錄"),"")</f>
        <v/>
      </c>
      <c r="M118" s="268" t="str" cm="1">
        <f t="array" ref="M118">IF(AND(SUMPRODUCT((IM!F2:F751=A118)*(ISNUMBER(SEARCH("EDC", IM!AC2:AC751))))&gt;0), "EDC", "")</f>
        <v/>
      </c>
      <c r="N118" s="311" t="str" cm="1">
        <f t="array" ref="N118">IF(AND(SUMPRODUCT((IM!F2:F751=A118)*(ISNUMBER(SEARCH("STAR", IM!AC2:AC751))))&gt;0), "STAR", "")</f>
        <v/>
      </c>
      <c r="O118" s="302" t="str" cm="1">
        <f t="array" ref="O118">IFERROR(INDEX(IM!$X$2:$X$652, MATCH(1, (IM!$F$2:$F$652=A118) * (ISNUMBER(SEARCH($D$1, IM!$AC$2:$AC$652))), 0)), "")</f>
        <v/>
      </c>
      <c r="P118" s="196" t="str">
        <f t="shared" si="23"/>
        <v>-3183-北縣板好店(定保)</v>
      </c>
      <c r="Q118" s="144"/>
      <c r="R118" s="144"/>
      <c r="S118" s="144"/>
      <c r="T118" s="144"/>
      <c r="U118" s="305">
        <f t="shared" si="24"/>
        <v>2</v>
      </c>
      <c r="V118" s="289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4">
        <v>4167</v>
      </c>
      <c r="B119" s="185" t="s">
        <v>323</v>
      </c>
      <c r="C119" s="186" t="str">
        <f>VLOOKUP($A119,'0919門市清單主檔'!B:V,20,FALSE)</f>
        <v>新北市</v>
      </c>
      <c r="D119" s="187" t="str">
        <f>VLOOKUP($A119,'0919門市清單主檔'!B:V,21,FALSE)</f>
        <v>板橋區</v>
      </c>
      <c r="E119" s="188" t="str">
        <f>VLOOKUP(D119,區域表!A:B,2,FALSE)</f>
        <v>狄澤洋</v>
      </c>
      <c r="F119" s="189" t="str">
        <f>IFERROR(IF(VLOOKUP(A119,門市狀態!A:D,4,FALSE)=0,"",VLOOKUP(A119,門市狀態!A:D,4,FALSE)),"")</f>
        <v/>
      </c>
      <c r="G119" s="190" t="s">
        <v>1749</v>
      </c>
      <c r="H119" s="191" t="str">
        <f t="shared" si="22"/>
        <v>-4167-板橋松翠店(定保)</v>
      </c>
      <c r="I119" s="195" t="s">
        <v>1749</v>
      </c>
      <c r="J119" s="193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5" t="str" cm="1">
        <f t="array" ref="L119">IF(K119&gt;0,IFERROR(HYPERLINK("#'IM'!AC"&amp;MATCH(1,(IM!$F$1:$F$7702=A119)*(ISNUMBER(SEARCH("PMQ2",IM!$AC$1:$AC$7702))),0),"檢核"),"未登錄"),"")</f>
        <v/>
      </c>
      <c r="M119" s="268" t="str" cm="1">
        <f t="array" ref="M119">IF(AND(SUMPRODUCT((IM!F2:F752=A119)*(ISNUMBER(SEARCH("EDC", IM!AC2:AC752))))&gt;0), "EDC", "")</f>
        <v/>
      </c>
      <c r="N119" s="311" t="str" cm="1">
        <f t="array" ref="N119">IF(AND(SUMPRODUCT((IM!F2:F752=A119)*(ISNUMBER(SEARCH("STAR", IM!AC2:AC752))))&gt;0), "STAR", "")</f>
        <v/>
      </c>
      <c r="O119" s="302" t="str" cm="1">
        <f t="array" ref="O119">IFERROR(INDEX(IM!$X$2:$X$652, MATCH(1, (IM!$F$2:$F$652=A119) * (ISNUMBER(SEARCH($D$1, IM!$AC$2:$AC$652))), 0)), "")</f>
        <v/>
      </c>
      <c r="P119" s="196" t="str">
        <f t="shared" si="23"/>
        <v>-4167-板橋松翠店(定保)</v>
      </c>
      <c r="Q119" s="144"/>
      <c r="R119" s="144"/>
      <c r="S119" s="144"/>
      <c r="T119" s="144"/>
      <c r="U119" s="305">
        <f t="shared" si="24"/>
        <v>2</v>
      </c>
      <c r="V119" s="289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4">
        <v>4243</v>
      </c>
      <c r="B120" s="185" t="s">
        <v>345</v>
      </c>
      <c r="C120" s="186" t="str">
        <f>VLOOKUP($A120,'0919門市清單主檔'!B:V,20,FALSE)</f>
        <v>新北市</v>
      </c>
      <c r="D120" s="187" t="str">
        <f>VLOOKUP($A120,'0919門市清單主檔'!B:V,21,FALSE)</f>
        <v>八里區</v>
      </c>
      <c r="E120" s="188" t="str">
        <f>VLOOKUP(D120,區域表!A:B,2,FALSE)</f>
        <v>吳宗鴻</v>
      </c>
      <c r="F120" s="189" t="str">
        <f>IFERROR(IF(VLOOKUP(A120,門市狀態!A:D,4,FALSE)=0,"",VLOOKUP(A120,門市狀態!A:D,4,FALSE)),"")</f>
        <v/>
      </c>
      <c r="G120" s="190" t="s">
        <v>1749</v>
      </c>
      <c r="H120" s="191" t="str">
        <f t="shared" si="22"/>
        <v>-4243-八里聖心店(定保)</v>
      </c>
      <c r="I120" s="195" t="s">
        <v>1749</v>
      </c>
      <c r="J120" s="193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5" t="str" cm="1">
        <f t="array" ref="L120">IF(K120&gt;0,IFERROR(HYPERLINK("#'IM'!AC"&amp;MATCH(1,(IM!$F$1:$F$7702=A120)*(ISNUMBER(SEARCH("PMQ2",IM!$AC$1:$AC$7702))),0),"檢核"),"未登錄"),"")</f>
        <v/>
      </c>
      <c r="M120" s="268" t="str" cm="1">
        <f t="array" ref="M120">IF(AND(SUMPRODUCT((IM!F2:F753=A120)*(ISNUMBER(SEARCH("EDC", IM!AC2:AC753))))&gt;0), "EDC", "")</f>
        <v/>
      </c>
      <c r="N120" s="311" t="str" cm="1">
        <f t="array" ref="N120">IF(AND(SUMPRODUCT((IM!F2:F753=A120)*(ISNUMBER(SEARCH("STAR", IM!AC2:AC753))))&gt;0), "STAR", "")</f>
        <v/>
      </c>
      <c r="O120" s="302" t="str" cm="1">
        <f t="array" ref="O120">IFERROR(INDEX(IM!$X$2:$X$652, MATCH(1, (IM!$F$2:$F$652=A120) * (ISNUMBER(SEARCH($D$1, IM!$AC$2:$AC$652))), 0)), "")</f>
        <v/>
      </c>
      <c r="P120" s="196" t="str">
        <f t="shared" si="23"/>
        <v>-4243-八里聖心店(定保)</v>
      </c>
      <c r="Q120" s="144"/>
      <c r="R120" s="144"/>
      <c r="S120" s="144"/>
      <c r="T120" s="144"/>
      <c r="U120" s="305">
        <f t="shared" si="24"/>
        <v>2</v>
      </c>
      <c r="V120" s="289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4">
        <v>3458</v>
      </c>
      <c r="B121" s="185" t="s">
        <v>193</v>
      </c>
      <c r="C121" s="186" t="str">
        <f>VLOOKUP($A121,'0919門市清單主檔'!B:V,20,FALSE)</f>
        <v>新北市</v>
      </c>
      <c r="D121" s="187" t="str">
        <f>VLOOKUP($A121,'0919門市清單主檔'!B:V,21,FALSE)</f>
        <v>八里區</v>
      </c>
      <c r="E121" s="188" t="str">
        <f>VLOOKUP(D121,區域表!A:B,2,FALSE)</f>
        <v>吳宗鴻</v>
      </c>
      <c r="F121" s="189" t="str">
        <f>IFERROR(IF(VLOOKUP(A121,門市狀態!A:D,4,FALSE)=0,"",VLOOKUP(A121,門市狀態!A:D,4,FALSE)),"")</f>
        <v/>
      </c>
      <c r="G121" s="190" t="s">
        <v>1749</v>
      </c>
      <c r="H121" s="191" t="str">
        <f t="shared" si="22"/>
        <v>-3458-八里龍米店(定保)</v>
      </c>
      <c r="I121" s="195" t="s">
        <v>1749</v>
      </c>
      <c r="J121" s="193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5" t="str" cm="1">
        <f t="array" ref="L121">IF(K121&gt;0,IFERROR(HYPERLINK("#'IM'!AC"&amp;MATCH(1,(IM!$F$1:$F$7702=A121)*(ISNUMBER(SEARCH("PMQ2",IM!$AC$1:$AC$7702))),0),"檢核"),"未登錄"),"")</f>
        <v/>
      </c>
      <c r="M121" s="268" t="str" cm="1">
        <f t="array" ref="M121">IF(AND(SUMPRODUCT((IM!F2:F754=A121)*(ISNUMBER(SEARCH("EDC", IM!AC2:AC754))))&gt;0), "EDC", "")</f>
        <v/>
      </c>
      <c r="N121" s="311" t="str" cm="1">
        <f t="array" ref="N121">IF(AND(SUMPRODUCT((IM!F2:F754=A121)*(ISNUMBER(SEARCH("STAR", IM!AC2:AC754))))&gt;0), "STAR", "")</f>
        <v/>
      </c>
      <c r="O121" s="302" t="str" cm="1">
        <f t="array" ref="O121">IFERROR(INDEX(IM!$X$2:$X$652, MATCH(1, (IM!$F$2:$F$652=A121) * (ISNUMBER(SEARCH($D$1, IM!$AC$2:$AC$652))), 0)), "")</f>
        <v/>
      </c>
      <c r="P121" s="196" t="str">
        <f t="shared" si="23"/>
        <v>-3458-八里龍米店(定保)</v>
      </c>
      <c r="Q121" s="144"/>
      <c r="R121" s="144"/>
      <c r="S121" s="144"/>
      <c r="T121" s="144"/>
      <c r="U121" s="305">
        <f t="shared" si="24"/>
        <v>1</v>
      </c>
      <c r="V121" s="289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4">
        <v>2318</v>
      </c>
      <c r="B122" s="185" t="s">
        <v>92</v>
      </c>
      <c r="C122" s="186" t="str">
        <f>VLOOKUP($A122,'0919門市清單主檔'!B:V,20,FALSE)</f>
        <v>新北市</v>
      </c>
      <c r="D122" s="187" t="str">
        <f>VLOOKUP($A122,'0919門市清單主檔'!B:V,21,FALSE)</f>
        <v>淡水區</v>
      </c>
      <c r="E122" s="188" t="str">
        <f>VLOOKUP(D122,區域表!A:B,2,FALSE)</f>
        <v>吳宗鴻</v>
      </c>
      <c r="F122" s="189" t="str">
        <f>IFERROR(IF(VLOOKUP(A122,門市狀態!A:D,4,FALSE)=0,"",VLOOKUP(A122,門市狀態!A:D,4,FALSE)),"")</f>
        <v/>
      </c>
      <c r="G122" s="190" t="s">
        <v>1749</v>
      </c>
      <c r="H122" s="191" t="str">
        <f t="shared" si="22"/>
        <v>-2318-北縣淡俊店(定保)</v>
      </c>
      <c r="I122" s="195" t="s">
        <v>1749</v>
      </c>
      <c r="J122" s="193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5" t="str" cm="1">
        <f t="array" ref="L122">IF(K122&gt;0,IFERROR(HYPERLINK("#'IM'!AC"&amp;MATCH(1,(IM!$F$1:$F$7702=A122)*(ISNUMBER(SEARCH("PMQ2",IM!$AC$1:$AC$7702))),0),"檢核"),"未登錄"),"")</f>
        <v/>
      </c>
      <c r="M122" s="268" t="str" cm="1">
        <f t="array" ref="M122">IF(AND(SUMPRODUCT((IM!F2:F755=A122)*(ISNUMBER(SEARCH("EDC", IM!AC2:AC755))))&gt;0), "EDC", "")</f>
        <v/>
      </c>
      <c r="N122" s="311" t="str" cm="1">
        <f t="array" ref="N122">IF(AND(SUMPRODUCT((IM!F2:F755=A122)*(ISNUMBER(SEARCH("STAR", IM!AC2:AC755))))&gt;0), "STAR", "")</f>
        <v/>
      </c>
      <c r="O122" s="302" t="str" cm="1">
        <f t="array" ref="O122">IFERROR(INDEX(IM!$X$2:$X$652, MATCH(1, (IM!$F$2:$F$652=A122) * (ISNUMBER(SEARCH($D$1, IM!$AC$2:$AC$652))), 0)), "")</f>
        <v/>
      </c>
      <c r="P122" s="196" t="str">
        <f t="shared" si="23"/>
        <v>-2318-北縣淡俊店(定保)</v>
      </c>
      <c r="Q122" s="144"/>
      <c r="R122" s="144"/>
      <c r="S122" s="144"/>
      <c r="T122" s="144"/>
      <c r="U122" s="305">
        <f t="shared" si="24"/>
        <v>1</v>
      </c>
      <c r="V122" s="289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4">
        <v>4194</v>
      </c>
      <c r="B123" s="185" t="s">
        <v>330</v>
      </c>
      <c r="C123" s="186" t="str">
        <f>VLOOKUP($A123,'0919門市清單主檔'!B:V,20,FALSE)</f>
        <v>新北市</v>
      </c>
      <c r="D123" s="187" t="str">
        <f>VLOOKUP($A123,'0919門市清單主檔'!B:V,21,FALSE)</f>
        <v>新莊區</v>
      </c>
      <c r="E123" s="188" t="str">
        <f>VLOOKUP(D123,區域表!A:B,2,FALSE)</f>
        <v>湯家瑋</v>
      </c>
      <c r="F123" s="189" t="str">
        <f>IFERROR(IF(VLOOKUP(A123,門市狀態!A:D,4,FALSE)=0,"",VLOOKUP(A123,門市狀態!A:D,4,FALSE)),"")</f>
        <v/>
      </c>
      <c r="G123" s="190" t="s">
        <v>1749</v>
      </c>
      <c r="H123" s="191" t="str">
        <f t="shared" si="22"/>
        <v>-4194-新莊鼎苑店(定保)</v>
      </c>
      <c r="I123" s="195" t="s">
        <v>1749</v>
      </c>
      <c r="J123" s="193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5" t="str" cm="1">
        <f t="array" ref="L123">IF(K123&gt;0,IFERROR(HYPERLINK("#'IM'!AC"&amp;MATCH(1,(IM!$F$1:$F$7702=A123)*(ISNUMBER(SEARCH("PMQ2",IM!$AC$1:$AC$7702))),0),"檢核"),"未登錄"),"")</f>
        <v/>
      </c>
      <c r="M123" s="268" t="str" cm="1">
        <f t="array" ref="M123">IF(AND(SUMPRODUCT((IM!F2:F756=A123)*(ISNUMBER(SEARCH("EDC", IM!AC2:AC756))))&gt;0), "EDC", "")</f>
        <v/>
      </c>
      <c r="N123" s="311" t="str" cm="1">
        <f t="array" ref="N123">IF(AND(SUMPRODUCT((IM!F2:F756=A123)*(ISNUMBER(SEARCH("STAR", IM!AC2:AC756))))&gt;0), "STAR", "")</f>
        <v/>
      </c>
      <c r="O123" s="302" t="str" cm="1">
        <f t="array" ref="O123">IFERROR(INDEX(IM!$X$2:$X$652, MATCH(1, (IM!$F$2:$F$652=A123) * (ISNUMBER(SEARCH($D$1, IM!$AC$2:$AC$652))), 0)), "")</f>
        <v/>
      </c>
      <c r="P123" s="196" t="str">
        <f t="shared" si="23"/>
        <v>-4194-新莊鼎苑店(定保)</v>
      </c>
      <c r="Q123" s="144"/>
      <c r="R123" s="144"/>
      <c r="S123" s="144"/>
      <c r="T123" s="144"/>
      <c r="U123" s="305">
        <f t="shared" si="24"/>
        <v>2</v>
      </c>
      <c r="V123" s="289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4">
        <v>2935</v>
      </c>
      <c r="B124" s="185" t="s">
        <v>148</v>
      </c>
      <c r="C124" s="186" t="str">
        <f>VLOOKUP($A124,'0919門市清單主檔'!B:V,20,FALSE)</f>
        <v>新北市</v>
      </c>
      <c r="D124" s="187" t="str">
        <f>VLOOKUP($A124,'0919門市清單主檔'!B:V,21,FALSE)</f>
        <v>三重區</v>
      </c>
      <c r="E124" s="188" t="str">
        <f>VLOOKUP(D124,區域表!A:B,2,FALSE)</f>
        <v>吳宗鴻</v>
      </c>
      <c r="F124" s="189" t="str">
        <f>IFERROR(IF(VLOOKUP(A124,門市狀態!A:D,4,FALSE)=0,"",VLOOKUP(A124,門市狀態!A:D,4,FALSE)),"")</f>
        <v/>
      </c>
      <c r="G124" s="190" t="s">
        <v>1749</v>
      </c>
      <c r="H124" s="191" t="str">
        <f t="shared" si="22"/>
        <v>-2935-三重夜市口(定保)</v>
      </c>
      <c r="I124" s="195" t="s">
        <v>1749</v>
      </c>
      <c r="J124" s="193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5" t="str" cm="1">
        <f t="array" ref="L124">IF(K124&gt;0,IFERROR(HYPERLINK("#'IM'!AC"&amp;MATCH(1,(IM!$F$1:$F$7702=A124)*(ISNUMBER(SEARCH("PMQ2",IM!$AC$1:$AC$7702))),0),"檢核"),"未登錄"),"")</f>
        <v/>
      </c>
      <c r="M124" s="268" t="str" cm="1">
        <f t="array" ref="M124">IF(AND(SUMPRODUCT((IM!F2:F757=A124)*(ISNUMBER(SEARCH("EDC", IM!AC2:AC757))))&gt;0), "EDC", "")</f>
        <v/>
      </c>
      <c r="N124" s="311" t="str" cm="1">
        <f t="array" ref="N124">IF(AND(SUMPRODUCT((IM!F2:F757=A124)*(ISNUMBER(SEARCH("STAR", IM!AC2:AC757))))&gt;0), "STAR", "")</f>
        <v/>
      </c>
      <c r="O124" s="302" t="str" cm="1">
        <f t="array" ref="O124">IFERROR(INDEX(IM!$X$2:$X$652, MATCH(1, (IM!$F$2:$F$652=A124) * (ISNUMBER(SEARCH($D$1, IM!$AC$2:$AC$652))), 0)), "")</f>
        <v/>
      </c>
      <c r="P124" s="196" t="str">
        <f t="shared" si="23"/>
        <v>-2935-三重夜市口(定保)</v>
      </c>
      <c r="Q124" s="144"/>
      <c r="R124" s="144"/>
      <c r="S124" s="144"/>
      <c r="T124" s="144"/>
      <c r="U124" s="305">
        <f t="shared" si="24"/>
        <v>2</v>
      </c>
      <c r="V124" s="289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4">
        <v>3741</v>
      </c>
      <c r="B125" s="185" t="s">
        <v>1587</v>
      </c>
      <c r="C125" s="186" t="str">
        <f>VLOOKUP($A125,'0919門市清單主檔'!B:V,20,FALSE)</f>
        <v>新北市</v>
      </c>
      <c r="D125" s="187" t="str">
        <f>VLOOKUP($A125,'0919門市清單主檔'!B:V,21,FALSE)</f>
        <v>三重區</v>
      </c>
      <c r="E125" s="188" t="str">
        <f>VLOOKUP(D125,區域表!A:B,2,FALSE)</f>
        <v>吳宗鴻</v>
      </c>
      <c r="F125" s="189" t="str">
        <f>IFERROR(IF(VLOOKUP(A125,門市狀態!A:D,4,FALSE)=0,"",VLOOKUP(A125,門市狀態!A:D,4,FALSE)),"")</f>
        <v/>
      </c>
      <c r="G125" s="190" t="s">
        <v>1749</v>
      </c>
      <c r="H125" s="191" t="str">
        <f t="shared" si="22"/>
        <v>-3741-三重重新三(定保)</v>
      </c>
      <c r="I125" s="195" t="s">
        <v>1749</v>
      </c>
      <c r="J125" s="193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5" t="str" cm="1">
        <f t="array" ref="L125">IF(K125&gt;0,IFERROR(HYPERLINK("#'IM'!AC"&amp;MATCH(1,(IM!$F$1:$F$7702=A125)*(ISNUMBER(SEARCH("PMQ2",IM!$AC$1:$AC$7702))),0),"檢核"),"未登錄"),"")</f>
        <v/>
      </c>
      <c r="M125" s="268" t="str" cm="1">
        <f t="array" ref="M125">IF(AND(SUMPRODUCT((IM!F2:F758=A125)*(ISNUMBER(SEARCH("EDC", IM!AC2:AC758))))&gt;0), "EDC", "")</f>
        <v/>
      </c>
      <c r="N125" s="311" t="str" cm="1">
        <f t="array" ref="N125">IF(AND(SUMPRODUCT((IM!F2:F758=A125)*(ISNUMBER(SEARCH("STAR", IM!AC2:AC758))))&gt;0), "STAR", "")</f>
        <v/>
      </c>
      <c r="O125" s="302" t="str" cm="1">
        <f t="array" ref="O125">IFERROR(INDEX(IM!$X$2:$X$652, MATCH(1, (IM!$F$2:$F$652=A125) * (ISNUMBER(SEARCH($D$1, IM!$AC$2:$AC$652))), 0)), "")</f>
        <v/>
      </c>
      <c r="P125" s="196" t="str">
        <f t="shared" si="23"/>
        <v>-3741-三重重新三(定保)</v>
      </c>
      <c r="Q125" s="144"/>
      <c r="R125" s="144"/>
      <c r="S125" s="144"/>
      <c r="T125" s="144"/>
      <c r="U125" s="305">
        <f t="shared" si="24"/>
        <v>2</v>
      </c>
      <c r="V125" s="289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4">
        <v>2042</v>
      </c>
      <c r="B126" s="185" t="s">
        <v>60</v>
      </c>
      <c r="C126" s="186" t="str">
        <f>VLOOKUP($A126,'0919門市清單主檔'!B:V,20,FALSE)</f>
        <v>新北市</v>
      </c>
      <c r="D126" s="187" t="str">
        <f>VLOOKUP($A126,'0919門市清單主檔'!B:V,21,FALSE)</f>
        <v>三重區</v>
      </c>
      <c r="E126" s="188" t="str">
        <f>VLOOKUP(D126,區域表!A:B,2,FALSE)</f>
        <v>吳宗鴻</v>
      </c>
      <c r="F126" s="189" t="str">
        <f>IFERROR(IF(VLOOKUP(A126,門市狀態!A:D,4,FALSE)=0,"",VLOOKUP(A126,門市狀態!A:D,4,FALSE)),"")</f>
        <v/>
      </c>
      <c r="G126" s="190" t="s">
        <v>1749</v>
      </c>
      <c r="H126" s="191" t="str">
        <f t="shared" si="22"/>
        <v>-2042-三重中央北店(定保)</v>
      </c>
      <c r="I126" s="195" t="s">
        <v>1749</v>
      </c>
      <c r="J126" s="193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5" t="str" cm="1">
        <f t="array" ref="L126">IF(K126&gt;0,IFERROR(HYPERLINK("#'IM'!AC"&amp;MATCH(1,(IM!$F$1:$F$7702=A126)*(ISNUMBER(SEARCH("PMQ2",IM!$AC$1:$AC$7702))),0),"檢核"),"未登錄"),"")</f>
        <v/>
      </c>
      <c r="M126" s="268" t="str" cm="1">
        <f t="array" ref="M126">IF(AND(SUMPRODUCT((IM!F2:F759=A126)*(ISNUMBER(SEARCH("EDC", IM!AC2:AC759))))&gt;0), "EDC", "")</f>
        <v/>
      </c>
      <c r="N126" s="311" t="str" cm="1">
        <f t="array" ref="N126">IF(AND(SUMPRODUCT((IM!F2:F759=A126)*(ISNUMBER(SEARCH("STAR", IM!AC2:AC759))))&gt;0), "STAR", "")</f>
        <v/>
      </c>
      <c r="O126" s="302" t="str" cm="1">
        <f t="array" ref="O126">IFERROR(INDEX(IM!$X$2:$X$652, MATCH(1, (IM!$F$2:$F$652=A126) * (ISNUMBER(SEARCH($D$1, IM!$AC$2:$AC$652))), 0)), "")</f>
        <v/>
      </c>
      <c r="P126" s="196" t="str">
        <f t="shared" si="23"/>
        <v>-2042-三重中央北店(定保)</v>
      </c>
      <c r="Q126" s="144"/>
      <c r="R126" s="144"/>
      <c r="S126" s="144"/>
      <c r="T126" s="144"/>
      <c r="U126" s="305">
        <f t="shared" si="24"/>
        <v>2</v>
      </c>
      <c r="V126" s="289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4" t="s">
        <v>20</v>
      </c>
      <c r="B127" s="185" t="s">
        <v>4125</v>
      </c>
      <c r="C127" s="186" t="str">
        <f>VLOOKUP($A127,'0919門市清單主檔'!B:V,20,FALSE)</f>
        <v>新北市</v>
      </c>
      <c r="D127" s="187" t="str">
        <f>VLOOKUP($A127,'0919門市清單主檔'!B:V,21,FALSE)</f>
        <v>三重區</v>
      </c>
      <c r="E127" s="188" t="str">
        <f>VLOOKUP(D127,區域表!A:B,2,FALSE)</f>
        <v>吳宗鴻</v>
      </c>
      <c r="F127" s="189" t="str">
        <f>IFERROR(IF(VLOOKUP(A127,門市狀態!A:D,4,FALSE)=0,"",VLOOKUP(A127,門市狀態!A:D,4,FALSE)),"")</f>
        <v/>
      </c>
      <c r="G127" s="190" t="s">
        <v>1749</v>
      </c>
      <c r="H127" s="191" t="str">
        <f t="shared" si="22"/>
        <v>-D028-三重正義北店(定保)</v>
      </c>
      <c r="I127" s="195" t="s">
        <v>1749</v>
      </c>
      <c r="J127" s="193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5" t="str" cm="1">
        <f t="array" ref="L127">IF(K127&gt;0,IFERROR(HYPERLINK("#'IM'!AC"&amp;MATCH(1,(IM!$F$1:$F$7702=A127)*(ISNUMBER(SEARCH("PMQ2",IM!$AC$1:$AC$7702))),0),"檢核"),"未登錄"),"")</f>
        <v/>
      </c>
      <c r="M127" s="268" t="str" cm="1">
        <f t="array" ref="M127">IF(AND(SUMPRODUCT((IM!F2:F760=A127)*(ISNUMBER(SEARCH("EDC", IM!AC2:AC760))))&gt;0), "EDC", "")</f>
        <v/>
      </c>
      <c r="N127" s="311" t="str" cm="1">
        <f t="array" ref="N127">IF(AND(SUMPRODUCT((IM!F2:F760=A127)*(ISNUMBER(SEARCH("STAR", IM!AC2:AC760))))&gt;0), "STAR", "")</f>
        <v/>
      </c>
      <c r="O127" s="302" t="str" cm="1">
        <f t="array" ref="O127">IFERROR(INDEX(IM!$X$2:$X$652, MATCH(1, (IM!$F$2:$F$652=A127) * (ISNUMBER(SEARCH($D$1, IM!$AC$2:$AC$652))), 0)), "")</f>
        <v/>
      </c>
      <c r="P127" s="196" t="str">
        <f t="shared" si="23"/>
        <v>-D028-三重正義北店(定保)</v>
      </c>
      <c r="Q127" s="144"/>
      <c r="R127" s="144"/>
      <c r="S127" s="144"/>
      <c r="T127" s="144"/>
      <c r="U127" s="305">
        <f t="shared" si="24"/>
        <v>1</v>
      </c>
      <c r="V127" s="289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4">
        <v>4029</v>
      </c>
      <c r="B128" s="185" t="s">
        <v>297</v>
      </c>
      <c r="C128" s="186" t="str">
        <f>VLOOKUP($A128,'0919門市清單主檔'!B:V,20,FALSE)</f>
        <v>新北市</v>
      </c>
      <c r="D128" s="187" t="str">
        <f>VLOOKUP($A128,'0919門市清單主檔'!B:V,21,FALSE)</f>
        <v>三重區</v>
      </c>
      <c r="E128" s="188" t="str">
        <f>VLOOKUP(D128,區域表!A:B,2,FALSE)</f>
        <v>吳宗鴻</v>
      </c>
      <c r="F128" s="189" t="str">
        <f>IFERROR(IF(VLOOKUP(A128,門市狀態!A:D,4,FALSE)=0,"",VLOOKUP(A128,門市狀態!A:D,4,FALSE)),"")</f>
        <v/>
      </c>
      <c r="G128" s="190" t="s">
        <v>1749</v>
      </c>
      <c r="H128" s="191" t="str">
        <f t="shared" si="22"/>
        <v>-4029-三重龍濱店(定保)</v>
      </c>
      <c r="I128" s="195" t="s">
        <v>1749</v>
      </c>
      <c r="J128" s="193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5" t="str" cm="1">
        <f t="array" ref="L128">IF(K128&gt;0,IFERROR(HYPERLINK("#'IM'!AC"&amp;MATCH(1,(IM!$F$1:$F$7702=A128)*(ISNUMBER(SEARCH("PMQ2",IM!$AC$1:$AC$7702))),0),"檢核"),"未登錄"),"")</f>
        <v/>
      </c>
      <c r="M128" s="268" t="str" cm="1">
        <f t="array" ref="M128">IF(AND(SUMPRODUCT((IM!F2:F761=A128)*(ISNUMBER(SEARCH("EDC", IM!AC2:AC761))))&gt;0), "EDC", "")</f>
        <v/>
      </c>
      <c r="N128" s="311" t="str" cm="1">
        <f t="array" ref="N128">IF(AND(SUMPRODUCT((IM!F2:F761=A128)*(ISNUMBER(SEARCH("STAR", IM!AC2:AC761))))&gt;0), "STAR", "")</f>
        <v/>
      </c>
      <c r="O128" s="302" t="str" cm="1">
        <f t="array" ref="O128">IFERROR(INDEX(IM!$X$2:$X$652, MATCH(1, (IM!$F$2:$F$652=A128) * (ISNUMBER(SEARCH($D$1, IM!$AC$2:$AC$652))), 0)), "")</f>
        <v/>
      </c>
      <c r="P128" s="196" t="str">
        <f t="shared" si="23"/>
        <v>-4029-三重龍濱店(定保)</v>
      </c>
      <c r="Q128" s="144"/>
      <c r="R128" s="144"/>
      <c r="S128" s="144"/>
      <c r="T128" s="144"/>
      <c r="U128" s="305">
        <f t="shared" si="24"/>
        <v>2</v>
      </c>
      <c r="V128" s="289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4">
        <v>4560</v>
      </c>
      <c r="B129" s="185" t="s">
        <v>442</v>
      </c>
      <c r="C129" s="186" t="str">
        <f>VLOOKUP($A129,'0919門市清單主檔'!B:V,20,FALSE)</f>
        <v>新北市</v>
      </c>
      <c r="D129" s="187" t="str">
        <f>VLOOKUP($A129,'0919門市清單主檔'!B:V,21,FALSE)</f>
        <v>三重區</v>
      </c>
      <c r="E129" s="188" t="str">
        <f>VLOOKUP(D129,區域表!A:B,2,FALSE)</f>
        <v>吳宗鴻</v>
      </c>
      <c r="F129" s="189" t="str">
        <f>IFERROR(IF(VLOOKUP(A129,門市狀態!A:D,4,FALSE)=0,"",VLOOKUP(A129,門市狀態!A:D,4,FALSE)),"")</f>
        <v/>
      </c>
      <c r="G129" s="190" t="s">
        <v>1749</v>
      </c>
      <c r="H129" s="191" t="str">
        <f t="shared" si="22"/>
        <v>-4560-三重大院店(定保)</v>
      </c>
      <c r="I129" s="195" t="s">
        <v>1749</v>
      </c>
      <c r="J129" s="193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5" t="str" cm="1">
        <f t="array" ref="L129">IF(K129&gt;0,IFERROR(HYPERLINK("#'IM'!AC"&amp;MATCH(1,(IM!$F$1:$F$7702=A129)*(ISNUMBER(SEARCH("PMQ2",IM!$AC$1:$AC$7702))),0),"檢核"),"未登錄"),"")</f>
        <v/>
      </c>
      <c r="M129" s="268" t="str" cm="1">
        <f t="array" ref="M129">IF(AND(SUMPRODUCT((IM!F2:F762=A129)*(ISNUMBER(SEARCH("EDC", IM!AC2:AC762))))&gt;0), "EDC", "")</f>
        <v/>
      </c>
      <c r="N129" s="311" t="str" cm="1">
        <f t="array" ref="N129">IF(AND(SUMPRODUCT((IM!F2:F762=A129)*(ISNUMBER(SEARCH("STAR", IM!AC2:AC762))))&gt;0), "STAR", "")</f>
        <v/>
      </c>
      <c r="O129" s="302" t="str" cm="1">
        <f t="array" ref="O129">IFERROR(INDEX(IM!$X$2:$X$652, MATCH(1, (IM!$F$2:$F$652=A129) * (ISNUMBER(SEARCH($D$1, IM!$AC$2:$AC$652))), 0)), "")</f>
        <v/>
      </c>
      <c r="P129" s="196" t="str">
        <f t="shared" si="23"/>
        <v>-4560-三重大院店(定保)</v>
      </c>
      <c r="Q129" s="144"/>
      <c r="R129" s="144"/>
      <c r="S129" s="144"/>
      <c r="T129" s="144"/>
      <c r="U129" s="305">
        <f t="shared" si="24"/>
        <v>2</v>
      </c>
      <c r="V129" s="289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4">
        <v>3623</v>
      </c>
      <c r="B130" s="185" t="s">
        <v>211</v>
      </c>
      <c r="C130" s="186" t="str">
        <f>VLOOKUP($A130,'0919門市清單主檔'!B:V,20,FALSE)</f>
        <v>新北市</v>
      </c>
      <c r="D130" s="187" t="str">
        <f>VLOOKUP($A130,'0919門市清單主檔'!B:V,21,FALSE)</f>
        <v>三重區</v>
      </c>
      <c r="E130" s="188" t="str">
        <f>VLOOKUP(D130,區域表!A:B,2,FALSE)</f>
        <v>吳宗鴻</v>
      </c>
      <c r="F130" s="189" t="str">
        <f>IFERROR(IF(VLOOKUP(A130,門市狀態!A:D,4,FALSE)=0,"",VLOOKUP(A130,門市狀態!A:D,4,FALSE)),"")</f>
        <v/>
      </c>
      <c r="G130" s="190" t="s">
        <v>1749</v>
      </c>
      <c r="H130" s="191" t="str">
        <f t="shared" si="22"/>
        <v>-3623-三重自強店(定保)</v>
      </c>
      <c r="I130" s="195" t="s">
        <v>1749</v>
      </c>
      <c r="J130" s="193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5" t="str" cm="1">
        <f t="array" ref="L130">IF(K130&gt;0,IFERROR(HYPERLINK("#'IM'!AC"&amp;MATCH(1,(IM!$F$1:$F$7702=A130)*(ISNUMBER(SEARCH("PMQ2",IM!$AC$1:$AC$7702))),0),"檢核"),"未登錄"),"")</f>
        <v/>
      </c>
      <c r="M130" s="268" t="str" cm="1">
        <f t="array" ref="M130">IF(AND(SUMPRODUCT((IM!F2:F763=A130)*(ISNUMBER(SEARCH("EDC", IM!AC2:AC763))))&gt;0), "EDC", "")</f>
        <v/>
      </c>
      <c r="N130" s="311" t="str" cm="1">
        <f t="array" ref="N130">IF(AND(SUMPRODUCT((IM!F2:F763=A130)*(ISNUMBER(SEARCH("STAR", IM!AC2:AC763))))&gt;0), "STAR", "")</f>
        <v/>
      </c>
      <c r="O130" s="302" t="str" cm="1">
        <f t="array" ref="O130">IFERROR(INDEX(IM!$X$2:$X$652, MATCH(1, (IM!$F$2:$F$652=A130) * (ISNUMBER(SEARCH($D$1, IM!$AC$2:$AC$652))), 0)), "")</f>
        <v/>
      </c>
      <c r="P130" s="196" t="str">
        <f t="shared" si="23"/>
        <v>-3623-三重自強店(定保)</v>
      </c>
      <c r="Q130" s="144"/>
      <c r="R130" s="144"/>
      <c r="S130" s="144"/>
      <c r="T130" s="144"/>
      <c r="U130" s="305">
        <f t="shared" si="24"/>
        <v>2</v>
      </c>
      <c r="V130" s="289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4">
        <v>4388</v>
      </c>
      <c r="B131" s="185" t="s">
        <v>386</v>
      </c>
      <c r="C131" s="186" t="str">
        <f>VLOOKUP($A131,'0919門市清單主檔'!B:V,20,FALSE)</f>
        <v>新北市</v>
      </c>
      <c r="D131" s="187" t="str">
        <f>VLOOKUP($A131,'0919門市清單主檔'!B:V,21,FALSE)</f>
        <v>三重區</v>
      </c>
      <c r="E131" s="188" t="str">
        <f>VLOOKUP(D131,區域表!A:B,2,FALSE)</f>
        <v>吳宗鴻</v>
      </c>
      <c r="F131" s="189" t="str">
        <f>IFERROR(IF(VLOOKUP(A131,門市狀態!A:D,4,FALSE)=0,"",VLOOKUP(A131,門市狀態!A:D,4,FALSE)),"")</f>
        <v/>
      </c>
      <c r="G131" s="190" t="s">
        <v>1749</v>
      </c>
      <c r="H131" s="191" t="str">
        <f t="shared" si="22"/>
        <v>-4388-三重薔薇店(定保)</v>
      </c>
      <c r="I131" s="195" t="s">
        <v>1749</v>
      </c>
      <c r="J131" s="193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5" t="str" cm="1">
        <f t="array" ref="L131">IF(K131&gt;0,IFERROR(HYPERLINK("#'IM'!AC"&amp;MATCH(1,(IM!$F$1:$F$7702=A131)*(ISNUMBER(SEARCH("PMQ2",IM!$AC$1:$AC$7702))),0),"檢核"),"未登錄"),"")</f>
        <v/>
      </c>
      <c r="M131" s="268" t="str" cm="1">
        <f t="array" ref="M131">IF(AND(SUMPRODUCT((IM!F2:F764=A131)*(ISNUMBER(SEARCH("EDC", IM!AC2:AC764))))&gt;0), "EDC", "")</f>
        <v/>
      </c>
      <c r="N131" s="311" t="str" cm="1">
        <f t="array" ref="N131">IF(AND(SUMPRODUCT((IM!F2:F764=A131)*(ISNUMBER(SEARCH("STAR", IM!AC2:AC764))))&gt;0), "STAR", "")</f>
        <v/>
      </c>
      <c r="O131" s="302" t="str" cm="1">
        <f t="array" ref="O131">IFERROR(INDEX(IM!$X$2:$X$652, MATCH(1, (IM!$F$2:$F$652=A131) * (ISNUMBER(SEARCH($D$1, IM!$AC$2:$AC$652))), 0)), "")</f>
        <v/>
      </c>
      <c r="P131" s="196" t="str">
        <f t="shared" si="23"/>
        <v>-4388-三重薔薇店(定保)</v>
      </c>
      <c r="Q131" s="144"/>
      <c r="R131" s="144"/>
      <c r="S131" s="144"/>
      <c r="T131" s="144"/>
      <c r="U131" s="305">
        <f t="shared" si="24"/>
        <v>2</v>
      </c>
      <c r="V131" s="289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4">
        <v>4715</v>
      </c>
      <c r="B132" s="185" t="s">
        <v>495</v>
      </c>
      <c r="C132" s="186" t="str">
        <f>VLOOKUP($A132,'0919門市清單主檔'!B:V,20,FALSE)</f>
        <v>新北市</v>
      </c>
      <c r="D132" s="187" t="str">
        <f>VLOOKUP($A132,'0919門市清單主檔'!B:V,21,FALSE)</f>
        <v>林口區</v>
      </c>
      <c r="E132" s="188" t="str">
        <f>VLOOKUP(D132,區域表!A:B,2,FALSE)</f>
        <v>湯家瑋</v>
      </c>
      <c r="F132" s="189" t="str">
        <f>IFERROR(IF(VLOOKUP(A132,門市狀態!A:D,4,FALSE)=0,"",VLOOKUP(A132,門市狀態!A:D,4,FALSE)),"")</f>
        <v/>
      </c>
      <c r="G132" s="190" t="s">
        <v>1749</v>
      </c>
      <c r="H132" s="191" t="str">
        <f t="shared" si="22"/>
        <v>-4715-林口捷韻店(定保)</v>
      </c>
      <c r="I132" s="195" t="s">
        <v>1749</v>
      </c>
      <c r="J132" s="193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5" t="str" cm="1">
        <f t="array" ref="L132">IF(K132&gt;0,IFERROR(HYPERLINK("#'IM'!AC"&amp;MATCH(1,(IM!$F$1:$F$7702=A132)*(ISNUMBER(SEARCH("PMQ2",IM!$AC$1:$AC$7702))),0),"檢核"),"未登錄"),"")</f>
        <v/>
      </c>
      <c r="M132" s="268" t="str" cm="1">
        <f t="array" ref="M132">IF(AND(SUMPRODUCT((IM!F2:F765=A132)*(ISNUMBER(SEARCH("EDC", IM!AC2:AC765))))&gt;0), "EDC", "")</f>
        <v/>
      </c>
      <c r="N132" s="311" t="str" cm="1">
        <f t="array" ref="N132">IF(AND(SUMPRODUCT((IM!F2:F765=A132)*(ISNUMBER(SEARCH("STAR", IM!AC2:AC765))))&gt;0), "STAR", "")</f>
        <v/>
      </c>
      <c r="O132" s="302" t="str" cm="1">
        <f t="array" ref="O132">IFERROR(INDEX(IM!$X$2:$X$652, MATCH(1, (IM!$F$2:$F$652=A132) * (ISNUMBER(SEARCH($D$1, IM!$AC$2:$AC$652))), 0)), "")</f>
        <v/>
      </c>
      <c r="P132" s="196" t="str">
        <f t="shared" si="23"/>
        <v>-4715-林口捷韻店(定保)</v>
      </c>
      <c r="Q132" s="144"/>
      <c r="R132" s="144"/>
      <c r="S132" s="144"/>
      <c r="T132" s="144"/>
      <c r="U132" s="305">
        <f t="shared" si="24"/>
        <v>2</v>
      </c>
      <c r="V132" s="289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4">
        <v>4282</v>
      </c>
      <c r="B133" s="185" t="s">
        <v>354</v>
      </c>
      <c r="C133" s="186" t="str">
        <f>VLOOKUP($A133,'0919門市清單主檔'!B:V,20,FALSE)</f>
        <v>新北市</v>
      </c>
      <c r="D133" s="187" t="str">
        <f>VLOOKUP($A133,'0919門市清單主檔'!B:V,21,FALSE)</f>
        <v>林口區</v>
      </c>
      <c r="E133" s="188" t="str">
        <f>VLOOKUP(D133,區域表!A:B,2,FALSE)</f>
        <v>湯家瑋</v>
      </c>
      <c r="F133" s="189" t="str">
        <f>IFERROR(IF(VLOOKUP(A133,門市狀態!A:D,4,FALSE)=0,"",VLOOKUP(A133,門市狀態!A:D,4,FALSE)),"")</f>
        <v/>
      </c>
      <c r="G133" s="190" t="s">
        <v>1749</v>
      </c>
      <c r="H133" s="191" t="str">
        <f t="shared" si="22"/>
        <v>-4282-林口建林店(定保)</v>
      </c>
      <c r="I133" s="195" t="s">
        <v>1749</v>
      </c>
      <c r="J133" s="193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5" t="str" cm="1">
        <f t="array" ref="L133">IF(K133&gt;0,IFERROR(HYPERLINK("#'IM'!AC"&amp;MATCH(1,(IM!$F$1:$F$7702=A133)*(ISNUMBER(SEARCH("PMQ2",IM!$AC$1:$AC$7702))),0),"檢核"),"未登錄"),"")</f>
        <v/>
      </c>
      <c r="M133" s="268" t="str" cm="1">
        <f t="array" ref="M133">IF(AND(SUMPRODUCT((IM!F2:F766=A133)*(ISNUMBER(SEARCH("EDC", IM!AC2:AC766))))&gt;0), "EDC", "")</f>
        <v/>
      </c>
      <c r="N133" s="311" t="str" cm="1">
        <f t="array" ref="N133">IF(AND(SUMPRODUCT((IM!F2:F766=A133)*(ISNUMBER(SEARCH("STAR", IM!AC2:AC766))))&gt;0), "STAR", "")</f>
        <v/>
      </c>
      <c r="O133" s="302" t="str" cm="1">
        <f t="array" ref="O133">IFERROR(INDEX(IM!$X$2:$X$652, MATCH(1, (IM!$F$2:$F$652=A133) * (ISNUMBER(SEARCH($D$1, IM!$AC$2:$AC$652))), 0)), "")</f>
        <v/>
      </c>
      <c r="P133" s="196" t="str">
        <f t="shared" si="23"/>
        <v>-4282-林口建林店(定保)</v>
      </c>
      <c r="Q133" s="144"/>
      <c r="R133" s="144"/>
      <c r="S133" s="144"/>
      <c r="T133" s="144"/>
      <c r="U133" s="305">
        <f t="shared" si="24"/>
        <v>0</v>
      </c>
      <c r="V133" s="289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4">
        <v>4834</v>
      </c>
      <c r="B134" s="185" t="s">
        <v>540</v>
      </c>
      <c r="C134" s="186" t="str">
        <f>VLOOKUP($A134,'0919門市清單主檔'!B:V,20,FALSE)</f>
        <v>新北市</v>
      </c>
      <c r="D134" s="187" t="str">
        <f>VLOOKUP($A134,'0919門市清單主檔'!B:V,21,FALSE)</f>
        <v>林口區</v>
      </c>
      <c r="E134" s="188" t="str">
        <f>VLOOKUP(D134,區域表!A:B,2,FALSE)</f>
        <v>湯家瑋</v>
      </c>
      <c r="F134" s="189" t="str">
        <f>IFERROR(IF(VLOOKUP(A134,門市狀態!A:D,4,FALSE)=0,"",VLOOKUP(A134,門市狀態!A:D,4,FALSE)),"")</f>
        <v/>
      </c>
      <c r="G134" s="190" t="s">
        <v>1749</v>
      </c>
      <c r="H134" s="191" t="str">
        <f t="shared" si="22"/>
        <v>-4834-林口大千苑店(定保)</v>
      </c>
      <c r="I134" s="195" t="s">
        <v>1749</v>
      </c>
      <c r="J134" s="193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5" t="str" cm="1">
        <f t="array" ref="L134">IF(K134&gt;0,IFERROR(HYPERLINK("#'IM'!AC"&amp;MATCH(1,(IM!$F$1:$F$7702=A134)*(ISNUMBER(SEARCH("PMQ2",IM!$AC$1:$AC$7702))),0),"檢核"),"未登錄"),"")</f>
        <v/>
      </c>
      <c r="M134" s="268" t="str" cm="1">
        <f t="array" ref="M134">IF(AND(SUMPRODUCT((IM!F2:F767=A134)*(ISNUMBER(SEARCH("EDC", IM!AC2:AC767))))&gt;0), "EDC", "")</f>
        <v/>
      </c>
      <c r="N134" s="311" t="str" cm="1">
        <f t="array" ref="N134">IF(AND(SUMPRODUCT((IM!F2:F767=A134)*(ISNUMBER(SEARCH("STAR", IM!AC2:AC767))))&gt;0), "STAR", "")</f>
        <v/>
      </c>
      <c r="O134" s="302" t="str" cm="1">
        <f t="array" ref="O134">IFERROR(INDEX(IM!$X$2:$X$652, MATCH(1, (IM!$F$2:$F$652=A134) * (ISNUMBER(SEARCH($D$1, IM!$AC$2:$AC$652))), 0)), "")</f>
        <v/>
      </c>
      <c r="P134" s="196" t="str">
        <f t="shared" si="23"/>
        <v>-4834-林口大千苑店(定保)</v>
      </c>
      <c r="Q134" s="144"/>
      <c r="R134" s="144"/>
      <c r="S134" s="144"/>
      <c r="T134" s="144"/>
      <c r="U134" s="305">
        <f t="shared" si="24"/>
        <v>1</v>
      </c>
      <c r="V134" s="289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4">
        <v>2890</v>
      </c>
      <c r="B135" s="185" t="s">
        <v>4450</v>
      </c>
      <c r="C135" s="186" t="str">
        <f>VLOOKUP($A135,'0919門市清單主檔'!B:V,20,FALSE)</f>
        <v>新北市</v>
      </c>
      <c r="D135" s="187" t="str">
        <f>VLOOKUP($A135,'0919門市清單主檔'!B:V,21,FALSE)</f>
        <v>蘆洲區</v>
      </c>
      <c r="E135" s="188" t="str">
        <f>VLOOKUP(D135,區域表!A:B,2,FALSE)</f>
        <v>吳宗鴻</v>
      </c>
      <c r="F135" s="189" t="str">
        <f>IFERROR(IF(VLOOKUP(A135,門市狀態!A:D,4,FALSE)=0,"",VLOOKUP(A135,門市狀態!A:D,4,FALSE)),"")</f>
        <v/>
      </c>
      <c r="G135" s="190" t="s">
        <v>1749</v>
      </c>
      <c r="H135" s="191" t="str">
        <f t="shared" si="22"/>
        <v>-2890-蘆洲鷺江店(定保)</v>
      </c>
      <c r="I135" s="195" t="s">
        <v>1749</v>
      </c>
      <c r="J135" s="193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5" t="str" cm="1">
        <f t="array" ref="L135">IF(K135&gt;0,IFERROR(HYPERLINK("#'IM'!AC"&amp;MATCH(1,(IM!$F$1:$F$7702=A135)*(ISNUMBER(SEARCH("PMQ2",IM!$AC$1:$AC$7702))),0),"檢核"),"未登錄"),"")</f>
        <v/>
      </c>
      <c r="M135" s="268" t="str" cm="1">
        <f t="array" ref="M135">IF(AND(SUMPRODUCT((IM!F2:F768=A135)*(ISNUMBER(SEARCH("EDC", IM!AC2:AC768))))&gt;0), "EDC", "")</f>
        <v/>
      </c>
      <c r="N135" s="311" t="str" cm="1">
        <f t="array" ref="N135">IF(AND(SUMPRODUCT((IM!F2:F768=A135)*(ISNUMBER(SEARCH("STAR", IM!AC2:AC768))))&gt;0), "STAR", "")</f>
        <v/>
      </c>
      <c r="O135" s="302" t="str" cm="1">
        <f t="array" ref="O135">IFERROR(INDEX(IM!$X$2:$X$652, MATCH(1, (IM!$F$2:$F$652=A135) * (ISNUMBER(SEARCH($D$1, IM!$AC$2:$AC$652))), 0)), "")</f>
        <v/>
      </c>
      <c r="P135" s="196" t="str">
        <f t="shared" si="23"/>
        <v>-2890-蘆洲鷺江店(定保)</v>
      </c>
      <c r="Q135" s="144"/>
      <c r="R135" s="144"/>
      <c r="S135" s="144"/>
      <c r="T135" s="144"/>
      <c r="U135" s="305">
        <f t="shared" si="24"/>
        <v>2</v>
      </c>
      <c r="V135" s="289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4">
        <v>4326</v>
      </c>
      <c r="B136" s="185" t="s">
        <v>369</v>
      </c>
      <c r="C136" s="186" t="str">
        <f>VLOOKUP($A136,'0919門市清單主檔'!B:V,20,FALSE)</f>
        <v>新北市</v>
      </c>
      <c r="D136" s="187" t="str">
        <f>VLOOKUP($A136,'0919門市清單主檔'!B:V,21,FALSE)</f>
        <v>林口區</v>
      </c>
      <c r="E136" s="188" t="str">
        <f>VLOOKUP(D136,區域表!A:B,2,FALSE)</f>
        <v>湯家瑋</v>
      </c>
      <c r="F136" s="189" t="str">
        <f>IFERROR(IF(VLOOKUP(A136,門市狀態!A:D,4,FALSE)=0,"",VLOOKUP(A136,門市狀態!A:D,4,FALSE)),"")</f>
        <v/>
      </c>
      <c r="G136" s="190" t="s">
        <v>1749</v>
      </c>
      <c r="H136" s="191" t="str">
        <f t="shared" si="22"/>
        <v>-4326-林口建安店(定保)</v>
      </c>
      <c r="I136" s="195" t="s">
        <v>1749</v>
      </c>
      <c r="J136" s="193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5" t="str" cm="1">
        <f t="array" ref="L136">IF(K136&gt;0,IFERROR(HYPERLINK("#'IM'!AC"&amp;MATCH(1,(IM!$F$1:$F$7702=A136)*(ISNUMBER(SEARCH("PMQ2",IM!$AC$1:$AC$7702))),0),"檢核"),"未登錄"),"")</f>
        <v/>
      </c>
      <c r="M136" s="268" t="str" cm="1">
        <f t="array" ref="M136">IF(AND(SUMPRODUCT((IM!F2:F769=A136)*(ISNUMBER(SEARCH("EDC", IM!AC2:AC769))))&gt;0), "EDC", "")</f>
        <v/>
      </c>
      <c r="N136" s="311" t="str" cm="1">
        <f t="array" ref="N136">IF(AND(SUMPRODUCT((IM!F2:F769=A136)*(ISNUMBER(SEARCH("STAR", IM!AC2:AC769))))&gt;0), "STAR", "")</f>
        <v/>
      </c>
      <c r="O136" s="302" t="str" cm="1">
        <f t="array" ref="O136">IFERROR(INDEX(IM!$X$2:$X$652, MATCH(1, (IM!$F$2:$F$652=A136) * (ISNUMBER(SEARCH($D$1, IM!$AC$2:$AC$652))), 0)), "")</f>
        <v/>
      </c>
      <c r="P136" s="196" t="str">
        <f t="shared" si="23"/>
        <v>-4326-林口建安店(定保)</v>
      </c>
      <c r="Q136" s="144"/>
      <c r="R136" s="144"/>
      <c r="S136" s="144"/>
      <c r="T136" s="144"/>
      <c r="U136" s="305">
        <f t="shared" si="24"/>
        <v>2</v>
      </c>
      <c r="V136" s="289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4">
        <v>4923</v>
      </c>
      <c r="B137" s="185" t="s">
        <v>563</v>
      </c>
      <c r="C137" s="186" t="str">
        <f>VLOOKUP($A137,'0919門市清單主檔'!B:V,20,FALSE)</f>
        <v>新北市</v>
      </c>
      <c r="D137" s="187" t="str">
        <f>VLOOKUP($A137,'0919門市清單主檔'!B:V,21,FALSE)</f>
        <v>蘆洲區</v>
      </c>
      <c r="E137" s="188" t="str">
        <f>VLOOKUP(D137,區域表!A:B,2,FALSE)</f>
        <v>吳宗鴻</v>
      </c>
      <c r="F137" s="189" t="str">
        <f>IFERROR(IF(VLOOKUP(A137,門市狀態!A:D,4,FALSE)=0,"",VLOOKUP(A137,門市狀態!A:D,4,FALSE)),"")</f>
        <v/>
      </c>
      <c r="G137" s="190" t="s">
        <v>1749</v>
      </c>
      <c r="H137" s="191" t="str">
        <f t="shared" si="22"/>
        <v>-4923-蘆洲永平店(定保)</v>
      </c>
      <c r="I137" s="195" t="s">
        <v>1749</v>
      </c>
      <c r="J137" s="193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5" t="str" cm="1">
        <f t="array" ref="L137">IF(K137&gt;0,IFERROR(HYPERLINK("#'IM'!AC"&amp;MATCH(1,(IM!$F$1:$F$7702=A137)*(ISNUMBER(SEARCH("PMQ2",IM!$AC$1:$AC$7702))),0),"檢核"),"未登錄"),"")</f>
        <v/>
      </c>
      <c r="M137" s="268" t="str" cm="1">
        <f t="array" ref="M137">IF(AND(SUMPRODUCT((IM!F2:F770=A137)*(ISNUMBER(SEARCH("EDC", IM!AC2:AC770))))&gt;0), "EDC", "")</f>
        <v/>
      </c>
      <c r="N137" s="311" t="str" cm="1">
        <f t="array" ref="N137">IF(AND(SUMPRODUCT((IM!F2:F770=A137)*(ISNUMBER(SEARCH("STAR", IM!AC2:AC770))))&gt;0), "STAR", "")</f>
        <v/>
      </c>
      <c r="O137" s="302" t="str" cm="1">
        <f t="array" ref="O137">IFERROR(INDEX(IM!$X$2:$X$652, MATCH(1, (IM!$F$2:$F$652=A137) * (ISNUMBER(SEARCH($D$1, IM!$AC$2:$AC$652))), 0)), "")</f>
        <v/>
      </c>
      <c r="P137" s="196" t="str">
        <f t="shared" si="23"/>
        <v>-4923-蘆洲永平店(定保)</v>
      </c>
      <c r="Q137" s="144"/>
      <c r="R137" s="144"/>
      <c r="S137" s="144"/>
      <c r="T137" s="144"/>
      <c r="U137" s="305">
        <f t="shared" si="24"/>
        <v>1</v>
      </c>
      <c r="V137" s="289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4">
        <v>2349</v>
      </c>
      <c r="B138" s="185" t="s">
        <v>4091</v>
      </c>
      <c r="C138" s="186" t="str">
        <f>VLOOKUP($A138,'0919門市清單主檔'!B:V,20,FALSE)</f>
        <v>新北市</v>
      </c>
      <c r="D138" s="187" t="str">
        <f>VLOOKUP($A138,'0919門市清單主檔'!B:V,21,FALSE)</f>
        <v>三重區</v>
      </c>
      <c r="E138" s="188" t="str">
        <f>VLOOKUP(D138,區域表!A:B,2,FALSE)</f>
        <v>吳宗鴻</v>
      </c>
      <c r="F138" s="189" t="str">
        <f>IFERROR(IF(VLOOKUP(A138,門市狀態!A:D,4,FALSE)=0,"",VLOOKUP(A138,門市狀態!A:D,4,FALSE)),"")</f>
        <v/>
      </c>
      <c r="G138" s="190" t="s">
        <v>1749</v>
      </c>
      <c r="H138" s="191" t="str">
        <f t="shared" si="22"/>
        <v>-2349-三重永福店(定保)</v>
      </c>
      <c r="I138" s="195" t="s">
        <v>1749</v>
      </c>
      <c r="J138" s="193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5" t="str" cm="1">
        <f t="array" ref="L138">IF(K138&gt;0,IFERROR(HYPERLINK("#'IM'!AC"&amp;MATCH(1,(IM!$F$1:$F$7702=A138)*(ISNUMBER(SEARCH("PMQ2",IM!$AC$1:$AC$7702))),0),"檢核"),"未登錄"),"")</f>
        <v/>
      </c>
      <c r="M138" s="268" t="str" cm="1">
        <f t="array" ref="M138">IF(AND(SUMPRODUCT((IM!F2:F771=A138)*(ISNUMBER(SEARCH("EDC", IM!AC2:AC771))))&gt;0), "EDC", "")</f>
        <v/>
      </c>
      <c r="N138" s="311" t="str" cm="1">
        <f t="array" ref="N138">IF(AND(SUMPRODUCT((IM!F2:F771=A138)*(ISNUMBER(SEARCH("STAR", IM!AC2:AC771))))&gt;0), "STAR", "")</f>
        <v/>
      </c>
      <c r="O138" s="302" t="str" cm="1">
        <f t="array" ref="O138">IFERROR(INDEX(IM!$X$2:$X$652, MATCH(1, (IM!$F$2:$F$652=A138) * (ISNUMBER(SEARCH($D$1, IM!$AC$2:$AC$652))), 0)), "")</f>
        <v/>
      </c>
      <c r="P138" s="196" t="str">
        <f t="shared" si="23"/>
        <v>-2349-三重永福店(定保)</v>
      </c>
      <c r="Q138" s="144"/>
      <c r="R138" s="144"/>
      <c r="S138" s="144"/>
      <c r="T138" s="144"/>
      <c r="U138" s="305">
        <f t="shared" si="24"/>
        <v>2</v>
      </c>
      <c r="V138" s="289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4" t="s">
        <v>21</v>
      </c>
      <c r="B139" s="185" t="s">
        <v>638</v>
      </c>
      <c r="C139" s="186" t="str">
        <f>VLOOKUP($A139,'0919門市清單主檔'!B:V,20,FALSE)</f>
        <v>新北市</v>
      </c>
      <c r="D139" s="187" t="str">
        <f>VLOOKUP($A139,'0919門市清單主檔'!B:V,21,FALSE)</f>
        <v>三重區</v>
      </c>
      <c r="E139" s="188" t="str">
        <f>VLOOKUP(D139,區域表!A:B,2,FALSE)</f>
        <v>吳宗鴻</v>
      </c>
      <c r="F139" s="189" t="str">
        <f>IFERROR(IF(VLOOKUP(A139,門市狀態!A:D,4,FALSE)=0,"",VLOOKUP(A139,門市狀態!A:D,4,FALSE)),"")</f>
        <v/>
      </c>
      <c r="G139" s="190" t="s">
        <v>1749</v>
      </c>
      <c r="H139" s="191" t="str">
        <f t="shared" si="22"/>
        <v>-D057-北縣溪尾二店(定保)</v>
      </c>
      <c r="I139" s="195" t="s">
        <v>1749</v>
      </c>
      <c r="J139" s="193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5" t="str" cm="1">
        <f t="array" ref="L139">IF(K139&gt;0,IFERROR(HYPERLINK("#'IM'!AC"&amp;MATCH(1,(IM!$F$1:$F$7702=A139)*(ISNUMBER(SEARCH("PMQ2",IM!$AC$1:$AC$7702))),0),"檢核"),"未登錄"),"")</f>
        <v/>
      </c>
      <c r="M139" s="268" t="str" cm="1">
        <f t="array" ref="M139">IF(AND(SUMPRODUCT((IM!F2:F772=A139)*(ISNUMBER(SEARCH("EDC", IM!AC2:AC772))))&gt;0), "EDC", "")</f>
        <v/>
      </c>
      <c r="N139" s="311" t="str" cm="1">
        <f t="array" ref="N139">IF(AND(SUMPRODUCT((IM!F2:F772=A139)*(ISNUMBER(SEARCH("STAR", IM!AC2:AC772))))&gt;0), "STAR", "")</f>
        <v/>
      </c>
      <c r="O139" s="302" t="str" cm="1">
        <f t="array" ref="O139">IFERROR(INDEX(IM!$X$2:$X$652, MATCH(1, (IM!$F$2:$F$652=A139) * (ISNUMBER(SEARCH($D$1, IM!$AC$2:$AC$652))), 0)), "")</f>
        <v/>
      </c>
      <c r="P139" s="196" t="str">
        <f t="shared" si="23"/>
        <v>-D057-北縣溪尾二店(定保)</v>
      </c>
      <c r="Q139" s="144"/>
      <c r="R139" s="144"/>
      <c r="S139" s="144"/>
      <c r="T139" s="144"/>
      <c r="U139" s="305">
        <f t="shared" si="24"/>
        <v>2</v>
      </c>
      <c r="V139" s="289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4">
        <v>4196</v>
      </c>
      <c r="B140" s="185" t="s">
        <v>331</v>
      </c>
      <c r="C140" s="186" t="str">
        <f>VLOOKUP($A140,'0919門市清單主檔'!B:V,20,FALSE)</f>
        <v>新北市</v>
      </c>
      <c r="D140" s="187" t="str">
        <f>VLOOKUP($A140,'0919門市清單主檔'!B:V,21,FALSE)</f>
        <v>三重區</v>
      </c>
      <c r="E140" s="188" t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G140" s="190" t="s">
        <v>1749</v>
      </c>
      <c r="H140" s="191" t="str">
        <f t="shared" si="22"/>
        <v>-4196-三重蝶愛店(定保)</v>
      </c>
      <c r="I140" s="195" t="s">
        <v>1749</v>
      </c>
      <c r="J140" s="193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5" t="str" cm="1">
        <f t="array" ref="L140">IF(K140&gt;0,IFERROR(HYPERLINK("#'IM'!AC"&amp;MATCH(1,(IM!$F$1:$F$7702=A140)*(ISNUMBER(SEARCH("PMQ2",IM!$AC$1:$AC$7702))),0),"檢核"),"未登錄"),"")</f>
        <v/>
      </c>
      <c r="M140" s="268" t="str" cm="1">
        <f t="array" ref="M140">IF(AND(SUMPRODUCT((IM!F2:F773=A140)*(ISNUMBER(SEARCH("EDC", IM!AC2:AC773))))&gt;0), "EDC", "")</f>
        <v/>
      </c>
      <c r="N140" s="311" t="str" cm="1">
        <f t="array" ref="N140">IF(AND(SUMPRODUCT((IM!F2:F773=A140)*(ISNUMBER(SEARCH("STAR", IM!AC2:AC773))))&gt;0), "STAR", "")</f>
        <v/>
      </c>
      <c r="O140" s="302" t="str" cm="1">
        <f t="array" ref="O140">IFERROR(INDEX(IM!$X$2:$X$652, MATCH(1, (IM!$F$2:$F$652=A140) * (ISNUMBER(SEARCH($D$1, IM!$AC$2:$AC$652))), 0)), "")</f>
        <v/>
      </c>
      <c r="P140" s="196" t="str">
        <f t="shared" si="23"/>
        <v>-4196-三重蝶愛店(定保)</v>
      </c>
      <c r="Q140" s="144"/>
      <c r="R140" s="144"/>
      <c r="S140" s="144"/>
      <c r="T140" s="144"/>
      <c r="U140" s="305">
        <f t="shared" si="24"/>
        <v>2</v>
      </c>
      <c r="V140" s="289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4">
        <v>4210</v>
      </c>
      <c r="B141" s="185" t="s">
        <v>334</v>
      </c>
      <c r="C141" s="186" t="str">
        <f>VLOOKUP($A141,'0919門市清單主檔'!B:V,20,FALSE)</f>
        <v>新北市</v>
      </c>
      <c r="D141" s="187" t="str">
        <f>VLOOKUP($A141,'0919門市清單主檔'!B:V,21,FALSE)</f>
        <v>三重區</v>
      </c>
      <c r="E141" s="188" t="str">
        <f>VLOOKUP(D141,區域表!A:B,2,FALSE)</f>
        <v>吳宗鴻</v>
      </c>
      <c r="F141" s="189" t="str">
        <f>IFERROR(IF(VLOOKUP(A141,門市狀態!A:D,4,FALSE)=0,"",VLOOKUP(A141,門市狀態!A:D,4,FALSE)),"")</f>
        <v/>
      </c>
      <c r="G141" s="190" t="s">
        <v>1749</v>
      </c>
      <c r="H141" s="191" t="str">
        <f t="shared" si="22"/>
        <v>-4210-三重福華店(定保)</v>
      </c>
      <c r="I141" s="195" t="s">
        <v>1749</v>
      </c>
      <c r="J141" s="193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5" t="str" cm="1">
        <f t="array" ref="L141">IF(K141&gt;0,IFERROR(HYPERLINK("#'IM'!AC"&amp;MATCH(1,(IM!$F$1:$F$7702=A141)*(ISNUMBER(SEARCH("PMQ2",IM!$AC$1:$AC$7702))),0),"檢核"),"未登錄"),"")</f>
        <v/>
      </c>
      <c r="M141" s="268" t="str" cm="1">
        <f t="array" ref="M141">IF(AND(SUMPRODUCT((IM!F2:F774=A141)*(ISNUMBER(SEARCH("EDC", IM!AC2:AC774))))&gt;0), "EDC", "")</f>
        <v/>
      </c>
      <c r="N141" s="311" t="str" cm="1">
        <f t="array" ref="N141">IF(AND(SUMPRODUCT((IM!F2:F774=A141)*(ISNUMBER(SEARCH("STAR", IM!AC2:AC774))))&gt;0), "STAR", "")</f>
        <v/>
      </c>
      <c r="O141" s="302" t="str" cm="1">
        <f t="array" ref="O141">IFERROR(INDEX(IM!$X$2:$X$652, MATCH(1, (IM!$F$2:$F$652=A141) * (ISNUMBER(SEARCH($D$1, IM!$AC$2:$AC$652))), 0)), "")</f>
        <v/>
      </c>
      <c r="P141" s="196" t="str">
        <f t="shared" si="23"/>
        <v>-4210-三重福華店(定保)</v>
      </c>
      <c r="Q141" s="144"/>
      <c r="R141" s="144"/>
      <c r="S141" s="144"/>
      <c r="T141" s="144"/>
      <c r="U141" s="305">
        <f t="shared" si="24"/>
        <v>2</v>
      </c>
      <c r="V141" s="289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4" t="s">
        <v>26</v>
      </c>
      <c r="B142" s="185" t="s">
        <v>645</v>
      </c>
      <c r="C142" s="186" t="str">
        <f>VLOOKUP($A142,'0919門市清單主檔'!B:V,20,FALSE)</f>
        <v>新北市</v>
      </c>
      <c r="D142" s="187" t="str">
        <f>VLOOKUP($A142,'0919門市清單主檔'!B:V,21,FALSE)</f>
        <v>三重區</v>
      </c>
      <c r="E142" s="188" t="str">
        <f>VLOOKUP(D142,區域表!A:B,2,FALSE)</f>
        <v>吳宗鴻</v>
      </c>
      <c r="F142" s="189" t="str">
        <f>IFERROR(IF(VLOOKUP(A142,門市狀態!A:D,4,FALSE)=0,"",VLOOKUP(A142,門市狀態!A:D,4,FALSE)),"")</f>
        <v/>
      </c>
      <c r="G142" s="190" t="s">
        <v>1749</v>
      </c>
      <c r="H142" s="191" t="str">
        <f t="shared" si="22"/>
        <v>-D194-北縣五華三店(定保)</v>
      </c>
      <c r="I142" s="195" t="s">
        <v>1749</v>
      </c>
      <c r="J142" s="193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5" t="str" cm="1">
        <f t="array" ref="L142">IF(K142&gt;0,IFERROR(HYPERLINK("#'IM'!AC"&amp;MATCH(1,(IM!$F$1:$F$7702=A142)*(ISNUMBER(SEARCH("PMQ2",IM!$AC$1:$AC$7702))),0),"檢核"),"未登錄"),"")</f>
        <v/>
      </c>
      <c r="M142" s="268" t="str" cm="1">
        <f t="array" ref="M142">IF(AND(SUMPRODUCT((IM!F2:F775=A142)*(ISNUMBER(SEARCH("EDC", IM!AC2:AC775))))&gt;0), "EDC", "")</f>
        <v/>
      </c>
      <c r="N142" s="311" t="str" cm="1">
        <f t="array" ref="N142">IF(AND(SUMPRODUCT((IM!F2:F775=A142)*(ISNUMBER(SEARCH("STAR", IM!AC2:AC775))))&gt;0), "STAR", "")</f>
        <v/>
      </c>
      <c r="O142" s="302" t="str" cm="1">
        <f t="array" ref="O142">IFERROR(INDEX(IM!$X$2:$X$652, MATCH(1, (IM!$F$2:$F$652=A142) * (ISNUMBER(SEARCH($D$1, IM!$AC$2:$AC$652))), 0)), "")</f>
        <v/>
      </c>
      <c r="P142" s="196" t="str">
        <f t="shared" si="23"/>
        <v>-D194-北縣五華三店(定保)</v>
      </c>
      <c r="Q142" s="144"/>
      <c r="R142" s="144"/>
      <c r="S142" s="144"/>
      <c r="T142" s="144"/>
      <c r="U142" s="305">
        <f t="shared" si="24"/>
        <v>2</v>
      </c>
      <c r="V142" s="289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4">
        <v>3892</v>
      </c>
      <c r="B143" s="185" t="s">
        <v>258</v>
      </c>
      <c r="C143" s="186" t="str">
        <f>VLOOKUP($A143,'0919門市清單主檔'!B:V,20,FALSE)</f>
        <v>新北市</v>
      </c>
      <c r="D143" s="187" t="str">
        <f>VLOOKUP($A143,'0919門市清單主檔'!B:V,21,FALSE)</f>
        <v>蘆洲區</v>
      </c>
      <c r="E143" s="188" t="str">
        <f>VLOOKUP(D143,區域表!A:B,2,FALSE)</f>
        <v>吳宗鴻</v>
      </c>
      <c r="F143" s="189" t="str">
        <f>IFERROR(IF(VLOOKUP(A143,門市狀態!A:D,4,FALSE)=0,"",VLOOKUP(A143,門市狀態!A:D,4,FALSE)),"")</f>
        <v/>
      </c>
      <c r="G143" s="190" t="s">
        <v>1749</v>
      </c>
      <c r="H143" s="191" t="str">
        <f t="shared" ref="H143:H206" si="29">IF(I143&gt;0,(TEXT(I143,"yyyymmdd")&amp;$T$3&amp;A143&amp;$T$3&amp;B143&amp;$R$3),"")</f>
        <v>-3892-蘆洲光榮店(定保)</v>
      </c>
      <c r="I143" s="195" t="s">
        <v>1749</v>
      </c>
      <c r="J143" s="193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5" t="str" cm="1">
        <f t="array" ref="L143">IF(K143&gt;0,IFERROR(HYPERLINK("#'IM'!AC"&amp;MATCH(1,(IM!$F$1:$F$7702=A143)*(ISNUMBER(SEARCH("PMQ2",IM!$AC$1:$AC$7702))),0),"檢核"),"未登錄"),"")</f>
        <v/>
      </c>
      <c r="M143" s="268" t="str" cm="1">
        <f t="array" ref="M143">IF(AND(SUMPRODUCT((IM!F2:F776=A143)*(ISNUMBER(SEARCH("EDC", IM!AC2:AC776))))&gt;0), "EDC", "")</f>
        <v/>
      </c>
      <c r="N143" s="311" t="str" cm="1">
        <f t="array" ref="N143">IF(AND(SUMPRODUCT((IM!F2:F776=A143)*(ISNUMBER(SEARCH("STAR", IM!AC2:AC776))))&gt;0), "STAR", "")</f>
        <v/>
      </c>
      <c r="O143" s="302" t="str" cm="1">
        <f t="array" ref="O143">IFERROR(INDEX(IM!$X$2:$X$652, MATCH(1, (IM!$F$2:$F$652=A143) * (ISNUMBER(SEARCH($D$1, IM!$AC$2:$AC$652))), 0)), "")</f>
        <v/>
      </c>
      <c r="P143" s="196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5">
        <f t="shared" ref="U143:U206" si="31">IF(AND(W143&lt;&gt;"", X143&lt;&gt;""), 2, IF(OR(W143&lt;&gt;"", X143&lt;&gt;""), 1, 0))</f>
        <v>0</v>
      </c>
      <c r="V143" s="289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4">
        <v>4125</v>
      </c>
      <c r="B144" s="185" t="s">
        <v>315</v>
      </c>
      <c r="C144" s="186" t="str">
        <f>VLOOKUP($A144,'0919門市清單主檔'!B:V,20,FALSE)</f>
        <v>新北市</v>
      </c>
      <c r="D144" s="187" t="str">
        <f>VLOOKUP($A144,'0919門市清單主檔'!B:V,21,FALSE)</f>
        <v>蘆洲區</v>
      </c>
      <c r="E144" s="188" t="str">
        <f>VLOOKUP(D144,區域表!A:B,2,FALSE)</f>
        <v>吳宗鴻</v>
      </c>
      <c r="F144" s="189" t="str">
        <f>IFERROR(IF(VLOOKUP(A144,門市狀態!A:D,4,FALSE)=0,"",VLOOKUP(A144,門市狀態!A:D,4,FALSE)),"")</f>
        <v/>
      </c>
      <c r="G144" s="190" t="s">
        <v>1749</v>
      </c>
      <c r="H144" s="191" t="str">
        <f t="shared" si="29"/>
        <v>-4125-蘆洲長樂店(定保)</v>
      </c>
      <c r="I144" s="195" t="s">
        <v>1749</v>
      </c>
      <c r="J144" s="193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5" t="str" cm="1">
        <f t="array" ref="L144">IF(K144&gt;0,IFERROR(HYPERLINK("#'IM'!AC"&amp;MATCH(1,(IM!$F$1:$F$7702=A144)*(ISNUMBER(SEARCH("PMQ2",IM!$AC$1:$AC$7702))),0),"檢核"),"未登錄"),"")</f>
        <v/>
      </c>
      <c r="M144" s="268" t="str" cm="1">
        <f t="array" ref="M144">IF(AND(SUMPRODUCT((IM!F2:F777=A144)*(ISNUMBER(SEARCH("EDC", IM!AC2:AC777))))&gt;0), "EDC", "")</f>
        <v/>
      </c>
      <c r="N144" s="311" t="str" cm="1">
        <f t="array" ref="N144">IF(AND(SUMPRODUCT((IM!F2:F777=A144)*(ISNUMBER(SEARCH("STAR", IM!AC2:AC777))))&gt;0), "STAR", "")</f>
        <v/>
      </c>
      <c r="O144" s="302" t="str" cm="1">
        <f t="array" ref="O144">IFERROR(INDEX(IM!$X$2:$X$652, MATCH(1, (IM!$F$2:$F$652=A144) * (ISNUMBER(SEARCH($D$1, IM!$AC$2:$AC$652))), 0)), "")</f>
        <v/>
      </c>
      <c r="P144" s="196" t="str">
        <f t="shared" si="30"/>
        <v>-4125-蘆洲長樂店(定保)</v>
      </c>
      <c r="Q144" s="144"/>
      <c r="R144" s="144"/>
      <c r="S144" s="144"/>
      <c r="T144" s="144"/>
      <c r="U144" s="305">
        <f t="shared" si="31"/>
        <v>2</v>
      </c>
      <c r="V144" s="289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4">
        <v>4609</v>
      </c>
      <c r="B145" s="185" t="s">
        <v>458</v>
      </c>
      <c r="C145" s="186" t="str">
        <f>VLOOKUP($A145,'0919門市清單主檔'!B:V,20,FALSE)</f>
        <v>新北市</v>
      </c>
      <c r="D145" s="187" t="str">
        <f>VLOOKUP($A145,'0919門市清單主檔'!B:V,21,FALSE)</f>
        <v>蘆洲區</v>
      </c>
      <c r="E145" s="188" t="str">
        <f>VLOOKUP(D145,區域表!A:B,2,FALSE)</f>
        <v>吳宗鴻</v>
      </c>
      <c r="F145" s="189" t="str">
        <f>IFERROR(IF(VLOOKUP(A145,門市狀態!A:D,4,FALSE)=0,"",VLOOKUP(A145,門市狀態!A:D,4,FALSE)),"")</f>
        <v/>
      </c>
      <c r="G145" s="190" t="s">
        <v>1749</v>
      </c>
      <c r="H145" s="191" t="str">
        <f t="shared" si="29"/>
        <v>-4609-蘆洲洲正店(定保)</v>
      </c>
      <c r="I145" s="195" t="s">
        <v>1749</v>
      </c>
      <c r="J145" s="193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5" t="str" cm="1">
        <f t="array" ref="L145">IF(K145&gt;0,IFERROR(HYPERLINK("#'IM'!AC"&amp;MATCH(1,(IM!$F$1:$F$7702=A145)*(ISNUMBER(SEARCH("PMQ2",IM!$AC$1:$AC$7702))),0),"檢核"),"未登錄"),"")</f>
        <v/>
      </c>
      <c r="M145" s="268" t="str" cm="1">
        <f t="array" ref="M145">IF(AND(SUMPRODUCT((IM!F2:F778=A145)*(ISNUMBER(SEARCH("EDC", IM!AC2:AC778))))&gt;0), "EDC", "")</f>
        <v/>
      </c>
      <c r="N145" s="311" t="str" cm="1">
        <f t="array" ref="N145">IF(AND(SUMPRODUCT((IM!F2:F778=A145)*(ISNUMBER(SEARCH("STAR", IM!AC2:AC778))))&gt;0), "STAR", "")</f>
        <v/>
      </c>
      <c r="O145" s="302" t="str" cm="1">
        <f t="array" ref="O145">IFERROR(INDEX(IM!$X$2:$X$652, MATCH(1, (IM!$F$2:$F$652=A145) * (ISNUMBER(SEARCH($D$1, IM!$AC$2:$AC$652))), 0)), "")</f>
        <v/>
      </c>
      <c r="P145" s="196" t="str">
        <f t="shared" si="30"/>
        <v>-4609-蘆洲洲正店(定保)</v>
      </c>
      <c r="Q145" s="144"/>
      <c r="R145" s="144"/>
      <c r="S145" s="144"/>
      <c r="T145" s="144"/>
      <c r="U145" s="305">
        <f t="shared" si="31"/>
        <v>2</v>
      </c>
      <c r="V145" s="289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4">
        <v>2958</v>
      </c>
      <c r="B146" s="185" t="s">
        <v>152</v>
      </c>
      <c r="C146" s="186" t="str">
        <f>VLOOKUP($A146,'0919門市清單主檔'!B:V,20,FALSE)</f>
        <v>新北市</v>
      </c>
      <c r="D146" s="187" t="str">
        <f>VLOOKUP($A146,'0919門市清單主檔'!B:V,21,FALSE)</f>
        <v>蘆洲區</v>
      </c>
      <c r="E146" s="188" t="str">
        <f>VLOOKUP(D146,區域表!A:B,2,FALSE)</f>
        <v>吳宗鴻</v>
      </c>
      <c r="F146" s="189" t="str">
        <f>IFERROR(IF(VLOOKUP(A146,門市狀態!A:D,4,FALSE)=0,"",VLOOKUP(A146,門市狀態!A:D,4,FALSE)),"")</f>
        <v/>
      </c>
      <c r="G146" s="190" t="s">
        <v>1749</v>
      </c>
      <c r="H146" s="191" t="str">
        <f t="shared" si="29"/>
        <v>-2958-北縣蘆旺店(定保)</v>
      </c>
      <c r="I146" s="195" t="s">
        <v>1749</v>
      </c>
      <c r="J146" s="193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5" t="str" cm="1">
        <f t="array" ref="L146">IF(K146&gt;0,IFERROR(HYPERLINK("#'IM'!AC"&amp;MATCH(1,(IM!$F$1:$F$7702=A146)*(ISNUMBER(SEARCH("PMQ2",IM!$AC$1:$AC$7702))),0),"檢核"),"未登錄"),"")</f>
        <v/>
      </c>
      <c r="M146" s="268" t="str" cm="1">
        <f t="array" ref="M146">IF(AND(SUMPRODUCT((IM!F2:F779=A146)*(ISNUMBER(SEARCH("EDC", IM!AC2:AC779))))&gt;0), "EDC", "")</f>
        <v/>
      </c>
      <c r="N146" s="311" t="str" cm="1">
        <f t="array" ref="N146">IF(AND(SUMPRODUCT((IM!F2:F779=A146)*(ISNUMBER(SEARCH("STAR", IM!AC2:AC779))))&gt;0), "STAR", "")</f>
        <v/>
      </c>
      <c r="O146" s="302" t="str" cm="1">
        <f t="array" ref="O146">IFERROR(INDEX(IM!$X$2:$X$652, MATCH(1, (IM!$F$2:$F$652=A146) * (ISNUMBER(SEARCH($D$1, IM!$AC$2:$AC$652))), 0)), "")</f>
        <v/>
      </c>
      <c r="P146" s="196" t="str">
        <f t="shared" si="30"/>
        <v>-2958-北縣蘆旺店(定保)</v>
      </c>
      <c r="Q146" s="144"/>
      <c r="R146" s="144"/>
      <c r="S146" s="144"/>
      <c r="T146" s="144"/>
      <c r="U146" s="305">
        <f t="shared" si="31"/>
        <v>2</v>
      </c>
      <c r="V146" s="289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4">
        <v>4701</v>
      </c>
      <c r="B147" s="185" t="s">
        <v>488</v>
      </c>
      <c r="C147" s="186" t="str">
        <f>VLOOKUP($A147,'0919門市清單主檔'!B:V,20,FALSE)</f>
        <v>新北市</v>
      </c>
      <c r="D147" s="187" t="str">
        <f>VLOOKUP($A147,'0919門市清單主檔'!B:V,21,FALSE)</f>
        <v>新莊區</v>
      </c>
      <c r="E147" s="188" t="str">
        <f>VLOOKUP(D147,區域表!A:B,2,FALSE)</f>
        <v>湯家瑋</v>
      </c>
      <c r="F147" s="189" t="str">
        <f>IFERROR(IF(VLOOKUP(A147,門市狀態!A:D,4,FALSE)=0,"",VLOOKUP(A147,門市狀態!A:D,4,FALSE)),"")</f>
        <v/>
      </c>
      <c r="G147" s="190" t="s">
        <v>1749</v>
      </c>
      <c r="H147" s="191" t="str">
        <f t="shared" si="29"/>
        <v>-4701-新莊昌平店(定保)</v>
      </c>
      <c r="I147" s="195" t="s">
        <v>1749</v>
      </c>
      <c r="J147" s="193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5" t="str" cm="1">
        <f t="array" ref="L147">IF(K147&gt;0,IFERROR(HYPERLINK("#'IM'!AC"&amp;MATCH(1,(IM!$F$1:$F$7702=A147)*(ISNUMBER(SEARCH("PMQ2",IM!$AC$1:$AC$7702))),0),"檢核"),"未登錄"),"")</f>
        <v/>
      </c>
      <c r="M147" s="268" t="str" cm="1">
        <f t="array" ref="M147">IF(AND(SUMPRODUCT((IM!F2:F780=A147)*(ISNUMBER(SEARCH("EDC", IM!AC2:AC780))))&gt;0), "EDC", "")</f>
        <v/>
      </c>
      <c r="N147" s="311" t="str" cm="1">
        <f t="array" ref="N147">IF(AND(SUMPRODUCT((IM!F2:F780=A147)*(ISNUMBER(SEARCH("STAR", IM!AC2:AC780))))&gt;0), "STAR", "")</f>
        <v/>
      </c>
      <c r="O147" s="302" t="str" cm="1">
        <f t="array" ref="O147">IFERROR(INDEX(IM!$X$2:$X$652, MATCH(1, (IM!$F$2:$F$652=A147) * (ISNUMBER(SEARCH($D$1, IM!$AC$2:$AC$652))), 0)), "")</f>
        <v/>
      </c>
      <c r="P147" s="196" t="str">
        <f t="shared" si="30"/>
        <v>-4701-新莊昌平店(定保)</v>
      </c>
      <c r="Q147" s="144"/>
      <c r="R147" s="144"/>
      <c r="S147" s="144"/>
      <c r="T147" s="144"/>
      <c r="U147" s="305">
        <f t="shared" si="31"/>
        <v>0</v>
      </c>
      <c r="V147" s="289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4">
        <v>3999</v>
      </c>
      <c r="B148" s="185" t="s">
        <v>286</v>
      </c>
      <c r="C148" s="186" t="str">
        <f>VLOOKUP($A148,'0919門市清單主檔'!B:V,20,FALSE)</f>
        <v>新北市</v>
      </c>
      <c r="D148" s="187" t="str">
        <f>VLOOKUP($A148,'0919門市清單主檔'!B:V,21,FALSE)</f>
        <v>新莊區</v>
      </c>
      <c r="E148" s="188" t="str">
        <f>VLOOKUP(D148,區域表!A:B,2,FALSE)</f>
        <v>湯家瑋</v>
      </c>
      <c r="F148" s="189" t="str">
        <f>IFERROR(IF(VLOOKUP(A148,門市狀態!A:D,4,FALSE)=0,"",VLOOKUP(A148,門市狀態!A:D,4,FALSE)),"")</f>
        <v/>
      </c>
      <c r="G148" s="190" t="s">
        <v>1749</v>
      </c>
      <c r="H148" s="191" t="str">
        <f t="shared" si="29"/>
        <v>-3999-新莊福祐店(定保)</v>
      </c>
      <c r="I148" s="195" t="s">
        <v>1749</v>
      </c>
      <c r="J148" s="193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5" t="str" cm="1">
        <f t="array" ref="L148">IF(K148&gt;0,IFERROR(HYPERLINK("#'IM'!AC"&amp;MATCH(1,(IM!$F$1:$F$7702=A148)*(ISNUMBER(SEARCH("PMQ2",IM!$AC$1:$AC$7702))),0),"檢核"),"未登錄"),"")</f>
        <v/>
      </c>
      <c r="M148" s="268" t="str" cm="1">
        <f t="array" ref="M148">IF(AND(SUMPRODUCT((IM!F2:F781=A148)*(ISNUMBER(SEARCH("EDC", IM!AC2:AC781))))&gt;0), "EDC", "")</f>
        <v/>
      </c>
      <c r="N148" s="311" t="str" cm="1">
        <f t="array" ref="N148">IF(AND(SUMPRODUCT((IM!F2:F781=A148)*(ISNUMBER(SEARCH("STAR", IM!AC2:AC781))))&gt;0), "STAR", "")</f>
        <v/>
      </c>
      <c r="O148" s="302" t="str" cm="1">
        <f t="array" ref="O148">IFERROR(INDEX(IM!$X$2:$X$652, MATCH(1, (IM!$F$2:$F$652=A148) * (ISNUMBER(SEARCH($D$1, IM!$AC$2:$AC$652))), 0)), "")</f>
        <v/>
      </c>
      <c r="P148" s="196" t="str">
        <f t="shared" si="30"/>
        <v>-3999-新莊福祐店(定保)</v>
      </c>
      <c r="Q148" s="144"/>
      <c r="R148" s="144"/>
      <c r="S148" s="144"/>
      <c r="T148" s="144"/>
      <c r="U148" s="305">
        <f t="shared" si="31"/>
        <v>1</v>
      </c>
      <c r="V148" s="289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4">
        <v>2069</v>
      </c>
      <c r="B149" s="185" t="s">
        <v>4123</v>
      </c>
      <c r="C149" s="186" t="str">
        <f>VLOOKUP($A149,'0919門市清單主檔'!B:V,20,FALSE)</f>
        <v>新北市</v>
      </c>
      <c r="D149" s="187" t="str">
        <f>VLOOKUP($A149,'0919門市清單主檔'!B:V,21,FALSE)</f>
        <v>板橋區</v>
      </c>
      <c r="E149" s="188" t="str">
        <f>VLOOKUP(D149,區域表!A:B,2,FALSE)</f>
        <v>狄澤洋</v>
      </c>
      <c r="F149" s="189" t="str">
        <f>IFERROR(IF(VLOOKUP(A149,門市狀態!A:D,4,FALSE)=0,"",VLOOKUP(A149,門市狀態!A:D,4,FALSE)),"")</f>
        <v/>
      </c>
      <c r="G149" s="190"/>
      <c r="H149" s="191" t="str">
        <f t="shared" si="29"/>
        <v>-2069-板橋江子翠站(定保)</v>
      </c>
      <c r="I149" s="195" t="s">
        <v>1749</v>
      </c>
      <c r="J149" s="193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5" t="str" cm="1">
        <f t="array" ref="L149">IF(K149&gt;0,IFERROR(HYPERLINK("#'IM'!AC"&amp;MATCH(1,(IM!$F$1:$F$7702=A149)*(ISNUMBER(SEARCH("PMQ2",IM!$AC$1:$AC$7702))),0),"檢核"),"未登錄"),"")</f>
        <v/>
      </c>
      <c r="M149" s="268" t="str" cm="1">
        <f t="array" ref="M149">IF(AND(SUMPRODUCT((IM!F2:F783=A149)*(ISNUMBER(SEARCH("EDC", IM!AC2:AC783))))&gt;0), "EDC", "")</f>
        <v/>
      </c>
      <c r="N149" s="311" t="str" cm="1">
        <f t="array" ref="N149">IF(AND(SUMPRODUCT((IM!F2:F783=A149)*(ISNUMBER(SEARCH("STAR", IM!AC2:AC783))))&gt;0), "STAR", "")</f>
        <v/>
      </c>
      <c r="O149" s="302" t="str" cm="1">
        <f t="array" ref="O149">IFERROR(INDEX(IM!$X$2:$X$652, MATCH(1, (IM!$F$2:$F$652=A149) * (ISNUMBER(SEARCH($D$1, IM!$AC$2:$AC$652))), 0)), "")</f>
        <v/>
      </c>
      <c r="P149" s="196" t="str">
        <f t="shared" si="30"/>
        <v>-2069-板橋江子翠站(定保)</v>
      </c>
      <c r="Q149" s="144"/>
      <c r="R149" s="144"/>
      <c r="S149" s="144"/>
      <c r="T149" s="144"/>
      <c r="U149" s="305">
        <f t="shared" si="31"/>
        <v>2</v>
      </c>
      <c r="V149" s="289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4" t="s">
        <v>27</v>
      </c>
      <c r="B150" s="185" t="s">
        <v>5054</v>
      </c>
      <c r="C150" s="186" t="str">
        <f>VLOOKUP($A150,'0919門市清單主檔'!B:V,20,FALSE)</f>
        <v>新北市</v>
      </c>
      <c r="D150" s="187" t="str">
        <f>VLOOKUP($A150,'0919門市清單主檔'!B:V,21,FALSE)</f>
        <v>三重區</v>
      </c>
      <c r="E150" s="188" t="str">
        <f>VLOOKUP(D150,區域表!A:B,2,FALSE)</f>
        <v>吳宗鴻</v>
      </c>
      <c r="F150" s="189" t="str">
        <f>IFERROR(IF(VLOOKUP(A150,門市狀態!A:D,4,FALSE)=0,"",VLOOKUP(A150,門市狀態!A:D,4,FALSE)),"")</f>
        <v/>
      </c>
      <c r="G150" s="190" t="s">
        <v>1749</v>
      </c>
      <c r="H150" s="191" t="str">
        <f t="shared" si="29"/>
        <v>-D195-三重車路頭(定保)</v>
      </c>
      <c r="I150" s="195" t="s">
        <v>1749</v>
      </c>
      <c r="J150" s="193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5" t="str" cm="1">
        <f t="array" ref="L150">IF(K150&gt;0,IFERROR(HYPERLINK("#'IM'!AC"&amp;MATCH(1,(IM!$F$1:$F$7702=A150)*(ISNUMBER(SEARCH("PMQ2",IM!$AC$1:$AC$7702))),0),"檢核"),"未登錄"),"")</f>
        <v/>
      </c>
      <c r="M150" s="268" t="str" cm="1">
        <f t="array" ref="M150">IF(AND(SUMPRODUCT((IM!F2:F784=A150)*(ISNUMBER(SEARCH("EDC", IM!AC2:AC784))))&gt;0), "EDC", "")</f>
        <v/>
      </c>
      <c r="N150" s="311" t="str" cm="1">
        <f t="array" ref="N150">IF(AND(SUMPRODUCT((IM!F2:F784=A150)*(ISNUMBER(SEARCH("STAR", IM!AC2:AC784))))&gt;0), "STAR", "")</f>
        <v/>
      </c>
      <c r="O150" s="302" t="str" cm="1">
        <f t="array" ref="O150">IFERROR(INDEX(IM!$X$2:$X$652, MATCH(1, (IM!$F$2:$F$652=A150) * (ISNUMBER(SEARCH($D$1, IM!$AC$2:$AC$652))), 0)), "")</f>
        <v/>
      </c>
      <c r="P150" s="196" t="str">
        <f t="shared" si="30"/>
        <v>-D195-三重車路頭(定保)</v>
      </c>
      <c r="Q150" s="144"/>
      <c r="R150" s="144"/>
      <c r="S150" s="144"/>
      <c r="T150" s="144"/>
      <c r="U150" s="305">
        <f t="shared" si="31"/>
        <v>1</v>
      </c>
      <c r="V150" s="289" t="str">
        <f t="shared" si="32"/>
        <v>未到店</v>
      </c>
      <c r="W150" s="3" t="s">
        <v>4621</v>
      </c>
      <c r="X150" s="5"/>
      <c r="Y150" s="5" t="str">
        <f t="shared" si="28"/>
        <v>STAR</v>
      </c>
    </row>
    <row r="151" spans="1:25" ht="15.75" customHeight="1">
      <c r="A151" s="184">
        <v>2222</v>
      </c>
      <c r="B151" s="185" t="s">
        <v>1542</v>
      </c>
      <c r="C151" s="186" t="str">
        <f>VLOOKUP($A151,'0919門市清單主檔'!B:V,20,FALSE)</f>
        <v>新北市</v>
      </c>
      <c r="D151" s="187" t="str">
        <f>VLOOKUP($A151,'0919門市清單主檔'!B:V,21,FALSE)</f>
        <v>三重區</v>
      </c>
      <c r="E151" s="188" t="str">
        <f>VLOOKUP(D151,區域表!A:B,2,FALSE)</f>
        <v>吳宗鴻</v>
      </c>
      <c r="F151" s="189" t="str">
        <f>IFERROR(IF(VLOOKUP(A151,門市狀態!A:D,4,FALSE)=0,"",VLOOKUP(A151,門市狀態!A:D,4,FALSE)),"")</f>
        <v/>
      </c>
      <c r="G151" s="190" t="s">
        <v>1749</v>
      </c>
      <c r="H151" s="191" t="str">
        <f t="shared" si="29"/>
        <v>-2222-三重義天店(定保)</v>
      </c>
      <c r="I151" s="195" t="s">
        <v>1749</v>
      </c>
      <c r="J151" s="193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5" t="str" cm="1">
        <f t="array" ref="L151">IF(K151&gt;0,IFERROR(HYPERLINK("#'IM'!AC"&amp;MATCH(1,(IM!$F$1:$F$7702=A151)*(ISNUMBER(SEARCH("PMQ2",IM!$AC$1:$AC$7702))),0),"檢核"),"未登錄"),"")</f>
        <v/>
      </c>
      <c r="M151" s="268" t="str" cm="1">
        <f t="array" ref="M151">IF(AND(SUMPRODUCT((IM!F2:F785=A151)*(ISNUMBER(SEARCH("EDC", IM!AC2:AC785))))&gt;0), "EDC", "")</f>
        <v/>
      </c>
      <c r="N151" s="311" t="str" cm="1">
        <f t="array" ref="N151">IF(AND(SUMPRODUCT((IM!F2:F785=A151)*(ISNUMBER(SEARCH("STAR", IM!AC2:AC785))))&gt;0), "STAR", "")</f>
        <v/>
      </c>
      <c r="O151" s="302" t="str" cm="1">
        <f t="array" ref="O151">IFERROR(INDEX(IM!$X$2:$X$652, MATCH(1, (IM!$F$2:$F$652=A151) * (ISNUMBER(SEARCH($D$1, IM!$AC$2:$AC$652))), 0)), "")</f>
        <v/>
      </c>
      <c r="P151" s="196" t="str">
        <f t="shared" si="30"/>
        <v>-2222-三重義天店(定保)</v>
      </c>
      <c r="Q151" s="144"/>
      <c r="R151" s="144"/>
      <c r="S151" s="144"/>
      <c r="T151" s="144"/>
      <c r="U151" s="305">
        <f t="shared" si="31"/>
        <v>2</v>
      </c>
      <c r="V151" s="289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4">
        <v>3772</v>
      </c>
      <c r="B152" s="185" t="s">
        <v>4167</v>
      </c>
      <c r="C152" s="186" t="str">
        <f>VLOOKUP($A152,'0919門市清單主檔'!B:V,20,FALSE)</f>
        <v>新北市</v>
      </c>
      <c r="D152" s="187" t="str">
        <f>VLOOKUP($A152,'0919門市清單主檔'!B:V,21,FALSE)</f>
        <v>三重區</v>
      </c>
      <c r="E152" s="188" t="str">
        <f>VLOOKUP(D152,區域表!A:B,2,FALSE)</f>
        <v>吳宗鴻</v>
      </c>
      <c r="F152" s="189" t="str">
        <f>IFERROR(IF(VLOOKUP(A152,門市狀態!A:D,4,FALSE)=0,"",VLOOKUP(A152,門市狀態!A:D,4,FALSE)),"")</f>
        <v/>
      </c>
      <c r="G152" s="190" t="s">
        <v>1749</v>
      </c>
      <c r="H152" s="191" t="str">
        <f t="shared" si="29"/>
        <v>-3772-三重美溪店(定保)</v>
      </c>
      <c r="I152" s="195" t="s">
        <v>1749</v>
      </c>
      <c r="J152" s="193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5" t="str" cm="1">
        <f t="array" ref="L152">IF(K152&gt;0,IFERROR(HYPERLINK("#'IM'!AC"&amp;MATCH(1,(IM!$F$1:$F$7702=A152)*(ISNUMBER(SEARCH("PMQ2",IM!$AC$1:$AC$7702))),0),"檢核"),"未登錄"),"")</f>
        <v/>
      </c>
      <c r="M152" s="268" t="str" cm="1">
        <f t="array" ref="M152">IF(AND(SUMPRODUCT((IM!F2:F786=A152)*(ISNUMBER(SEARCH("EDC", IM!AC2:AC786))))&gt;0), "EDC", "")</f>
        <v/>
      </c>
      <c r="N152" s="311" t="str" cm="1">
        <f t="array" ref="N152">IF(AND(SUMPRODUCT((IM!F2:F786=A152)*(ISNUMBER(SEARCH("STAR", IM!AC2:AC786))))&gt;0), "STAR", "")</f>
        <v/>
      </c>
      <c r="O152" s="302" t="str" cm="1">
        <f t="array" ref="O152">IFERROR(INDEX(IM!$X$2:$X$652, MATCH(1, (IM!$F$2:$F$652=A152) * (ISNUMBER(SEARCH($D$1, IM!$AC$2:$AC$652))), 0)), "")</f>
        <v/>
      </c>
      <c r="P152" s="196" t="str">
        <f t="shared" si="30"/>
        <v>-3772-三重美溪店(定保)</v>
      </c>
      <c r="Q152" s="144"/>
      <c r="R152" s="144"/>
      <c r="S152" s="144"/>
      <c r="T152" s="144"/>
      <c r="U152" s="305">
        <f t="shared" si="31"/>
        <v>0</v>
      </c>
      <c r="V152" s="289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4">
        <v>3601</v>
      </c>
      <c r="B153" s="185" t="s">
        <v>207</v>
      </c>
      <c r="C153" s="186" t="str">
        <f>VLOOKUP($A153,'0919門市清單主檔'!B:V,20,FALSE)</f>
        <v>新北市</v>
      </c>
      <c r="D153" s="187" t="str">
        <f>VLOOKUP($A153,'0919門市清單主檔'!B:V,21,FALSE)</f>
        <v>三重區</v>
      </c>
      <c r="E153" s="188" t="str">
        <f>VLOOKUP(D153,區域表!A:B,2,FALSE)</f>
        <v>吳宗鴻</v>
      </c>
      <c r="F153" s="189" t="str">
        <f>IFERROR(IF(VLOOKUP(A153,門市狀態!A:D,4,FALSE)=0,"",VLOOKUP(A153,門市狀態!A:D,4,FALSE)),"")</f>
        <v/>
      </c>
      <c r="G153" s="190" t="s">
        <v>1749</v>
      </c>
      <c r="H153" s="191" t="str">
        <f t="shared" si="29"/>
        <v>-3601-北縣重富店(定保)</v>
      </c>
      <c r="I153" s="195" t="s">
        <v>1749</v>
      </c>
      <c r="J153" s="193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5" t="str" cm="1">
        <f t="array" ref="L153">IF(K153&gt;0,IFERROR(HYPERLINK("#'IM'!AC"&amp;MATCH(1,(IM!$F$1:$F$7702=A153)*(ISNUMBER(SEARCH("PMQ2",IM!$AC$1:$AC$7702))),0),"檢核"),"未登錄"),"")</f>
        <v/>
      </c>
      <c r="M153" s="268" t="str" cm="1">
        <f t="array" ref="M153">IF(AND(SUMPRODUCT((IM!F2:F787=A153)*(ISNUMBER(SEARCH("EDC", IM!AC2:AC787))))&gt;0), "EDC", "")</f>
        <v/>
      </c>
      <c r="N153" s="311" t="str" cm="1">
        <f t="array" ref="N153">IF(AND(SUMPRODUCT((IM!F2:F787=A153)*(ISNUMBER(SEARCH("STAR", IM!AC2:AC787))))&gt;0), "STAR", "")</f>
        <v/>
      </c>
      <c r="O153" s="302" t="str" cm="1">
        <f t="array" ref="O153">IFERROR(INDEX(IM!$X$2:$X$652, MATCH(1, (IM!$F$2:$F$652=A153) * (ISNUMBER(SEARCH($D$1, IM!$AC$2:$AC$652))), 0)), "")</f>
        <v/>
      </c>
      <c r="P153" s="196" t="str">
        <f t="shared" si="30"/>
        <v>-3601-北縣重富店(定保)</v>
      </c>
      <c r="Q153" s="144"/>
      <c r="R153" s="144"/>
      <c r="S153" s="144"/>
      <c r="T153" s="144"/>
      <c r="U153" s="305">
        <f t="shared" si="31"/>
        <v>2</v>
      </c>
      <c r="V153" s="289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4">
        <v>3840</v>
      </c>
      <c r="B154" s="185" t="s">
        <v>247</v>
      </c>
      <c r="C154" s="186" t="str">
        <f>VLOOKUP($A154,'0919門市清單主檔'!B:V,20,FALSE)</f>
        <v>新北市</v>
      </c>
      <c r="D154" s="187" t="str">
        <f>VLOOKUP($A154,'0919門市清單主檔'!B:V,21,FALSE)</f>
        <v>三重區</v>
      </c>
      <c r="E154" s="188" t="str">
        <f>VLOOKUP(D154,區域表!A:B,2,FALSE)</f>
        <v>吳宗鴻</v>
      </c>
      <c r="F154" s="189" t="str">
        <f>IFERROR(IF(VLOOKUP(A154,門市狀態!A:D,4,FALSE)=0,"",VLOOKUP(A154,門市狀態!A:D,4,FALSE)),"")</f>
        <v/>
      </c>
      <c r="G154" s="190" t="s">
        <v>1749</v>
      </c>
      <c r="H154" s="191" t="str">
        <f t="shared" si="29"/>
        <v>-3840-北縣天龍店(定保)</v>
      </c>
      <c r="I154" s="195" t="s">
        <v>1749</v>
      </c>
      <c r="J154" s="193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5" t="str" cm="1">
        <f t="array" ref="L154">IF(K154&gt;0,IFERROR(HYPERLINK("#'IM'!AC"&amp;MATCH(1,(IM!$F$1:$F$7702=A154)*(ISNUMBER(SEARCH("PMQ2",IM!$AC$1:$AC$7702))),0),"檢核"),"未登錄"),"")</f>
        <v/>
      </c>
      <c r="M154" s="268" t="str" cm="1">
        <f t="array" ref="M154">IF(AND(SUMPRODUCT((IM!F2:F788=A154)*(ISNUMBER(SEARCH("EDC", IM!AC2:AC788))))&gt;0), "EDC", "")</f>
        <v/>
      </c>
      <c r="N154" s="311" t="str" cm="1">
        <f t="array" ref="N154">IF(AND(SUMPRODUCT((IM!F2:F788=A154)*(ISNUMBER(SEARCH("STAR", IM!AC2:AC788))))&gt;0), "STAR", "")</f>
        <v/>
      </c>
      <c r="O154" s="302" t="str" cm="1">
        <f t="array" ref="O154">IFERROR(INDEX(IM!$X$2:$X$652, MATCH(1, (IM!$F$2:$F$652=A154) * (ISNUMBER(SEARCH($D$1, IM!$AC$2:$AC$652))), 0)), "")</f>
        <v/>
      </c>
      <c r="P154" s="196" t="str">
        <f t="shared" si="30"/>
        <v>-3840-北縣天龍店(定保)</v>
      </c>
      <c r="Q154" s="144"/>
      <c r="R154" s="144"/>
      <c r="S154" s="144"/>
      <c r="T154" s="144"/>
      <c r="U154" s="305">
        <f t="shared" si="31"/>
        <v>2</v>
      </c>
      <c r="V154" s="289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4">
        <v>4352</v>
      </c>
      <c r="B155" s="185" t="s">
        <v>374</v>
      </c>
      <c r="C155" s="186" t="str">
        <f>VLOOKUP($A155,'0919門市清單主檔'!B:V,20,FALSE)</f>
        <v>新北市</v>
      </c>
      <c r="D155" s="187" t="str">
        <f>VLOOKUP($A155,'0919門市清單主檔'!B:V,21,FALSE)</f>
        <v>三重區</v>
      </c>
      <c r="E155" s="188" t="str">
        <f>VLOOKUP(D155,區域表!A:B,2,FALSE)</f>
        <v>吳宗鴻</v>
      </c>
      <c r="F155" s="189" t="str">
        <f>IFERROR(IF(VLOOKUP(A155,門市狀態!A:D,4,FALSE)=0,"",VLOOKUP(A155,門市狀態!A:D,4,FALSE)),"")</f>
        <v/>
      </c>
      <c r="G155" s="190" t="s">
        <v>1749</v>
      </c>
      <c r="H155" s="191" t="str">
        <f t="shared" si="29"/>
        <v>-4352-三重公園店(定保)</v>
      </c>
      <c r="I155" s="195" t="s">
        <v>1749</v>
      </c>
      <c r="J155" s="193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5" t="str" cm="1">
        <f t="array" ref="L155">IF(K155&gt;0,IFERROR(HYPERLINK("#'IM'!AC"&amp;MATCH(1,(IM!$F$1:$F$7702=A155)*(ISNUMBER(SEARCH("PMQ2",IM!$AC$1:$AC$7702))),0),"檢核"),"未登錄"),"")</f>
        <v/>
      </c>
      <c r="M155" s="268" t="str" cm="1">
        <f t="array" ref="M155">IF(AND(SUMPRODUCT((IM!F2:F789=A155)*(ISNUMBER(SEARCH("EDC", IM!AC2:AC789))))&gt;0), "EDC", "")</f>
        <v/>
      </c>
      <c r="N155" s="311" t="str" cm="1">
        <f t="array" ref="N155">IF(AND(SUMPRODUCT((IM!F2:F789=A155)*(ISNUMBER(SEARCH("STAR", IM!AC2:AC789))))&gt;0), "STAR", "")</f>
        <v/>
      </c>
      <c r="O155" s="302" t="str" cm="1">
        <f t="array" ref="O155">IFERROR(INDEX(IM!$X$2:$X$652, MATCH(1, (IM!$F$2:$F$652=A155) * (ISNUMBER(SEARCH($D$1, IM!$AC$2:$AC$652))), 0)), "")</f>
        <v/>
      </c>
      <c r="P155" s="196" t="str">
        <f t="shared" si="30"/>
        <v>-4352-三重公園店(定保)</v>
      </c>
      <c r="Q155" s="144"/>
      <c r="R155" s="144"/>
      <c r="S155" s="144"/>
      <c r="T155" s="144"/>
      <c r="U155" s="305">
        <f t="shared" si="31"/>
        <v>2</v>
      </c>
      <c r="V155" s="289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4">
        <v>3796</v>
      </c>
      <c r="B156" s="185" t="s">
        <v>4124</v>
      </c>
      <c r="C156" s="186" t="str">
        <f>VLOOKUP($A156,'0919門市清單主檔'!B:V,20,FALSE)</f>
        <v>新北市</v>
      </c>
      <c r="D156" s="187" t="str">
        <f>VLOOKUP($A156,'0919門市清單主檔'!B:V,21,FALSE)</f>
        <v>三重區</v>
      </c>
      <c r="E156" s="188" t="str">
        <f>VLOOKUP(D156,區域表!A:B,2,FALSE)</f>
        <v>吳宗鴻</v>
      </c>
      <c r="F156" s="189" t="str">
        <f>IFERROR(IF(VLOOKUP(A156,門市狀態!A:D,4,FALSE)=0,"",VLOOKUP(A156,門市狀態!A:D,4,FALSE)),"")</f>
        <v/>
      </c>
      <c r="G156" s="190" t="s">
        <v>1749</v>
      </c>
      <c r="H156" s="191" t="str">
        <f t="shared" si="29"/>
        <v>-3796-三重進安店(定保)</v>
      </c>
      <c r="I156" s="195" t="s">
        <v>1749</v>
      </c>
      <c r="J156" s="193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5" t="str" cm="1">
        <f t="array" ref="L156">IF(K156&gt;0,IFERROR(HYPERLINK("#'IM'!AC"&amp;MATCH(1,(IM!$F$1:$F$7702=A156)*(ISNUMBER(SEARCH("PMQ2",IM!$AC$1:$AC$7702))),0),"檢核"),"未登錄"),"")</f>
        <v/>
      </c>
      <c r="M156" s="268" t="str" cm="1">
        <f t="array" ref="M156">IF(AND(SUMPRODUCT((IM!F2:F791=A156)*(ISNUMBER(SEARCH("EDC", IM!AC2:AC791))))&gt;0), "EDC", "")</f>
        <v/>
      </c>
      <c r="N156" s="311" t="str" cm="1">
        <f t="array" ref="N156">IF(AND(SUMPRODUCT((IM!F2:F791=A156)*(ISNUMBER(SEARCH("STAR", IM!AC2:AC791))))&gt;0), "STAR", "")</f>
        <v/>
      </c>
      <c r="O156" s="302" t="str" cm="1">
        <f t="array" ref="O156">IFERROR(INDEX(IM!$X$2:$X$652, MATCH(1, (IM!$F$2:$F$652=A156) * (ISNUMBER(SEARCH($D$1, IM!$AC$2:$AC$652))), 0)), "")</f>
        <v/>
      </c>
      <c r="P156" s="196" t="str">
        <f t="shared" si="30"/>
        <v>-3796-三重進安店(定保)</v>
      </c>
      <c r="Q156" s="144"/>
      <c r="R156" s="144"/>
      <c r="S156" s="144"/>
      <c r="T156" s="144"/>
      <c r="U156" s="305">
        <f t="shared" si="31"/>
        <v>2</v>
      </c>
      <c r="V156" s="289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4" t="s">
        <v>39</v>
      </c>
      <c r="B157" s="185" t="s">
        <v>653</v>
      </c>
      <c r="C157" s="186" t="str">
        <f>VLOOKUP($A157,'0919門市清單主檔'!B:V,20,FALSE)</f>
        <v>新北市</v>
      </c>
      <c r="D157" s="187" t="str">
        <f>VLOOKUP($A157,'0919門市清單主檔'!B:V,21,FALSE)</f>
        <v>三重區</v>
      </c>
      <c r="E157" s="188" t="str">
        <f>VLOOKUP(D157,區域表!A:B,2,FALSE)</f>
        <v>吳宗鴻</v>
      </c>
      <c r="F157" s="189" t="str">
        <f>IFERROR(IF(VLOOKUP(A157,門市狀態!A:D,4,FALSE)=0,"",VLOOKUP(A157,門市狀態!A:D,4,FALSE)),"")</f>
        <v/>
      </c>
      <c r="G157" s="190" t="s">
        <v>1749</v>
      </c>
      <c r="H157" s="191" t="str">
        <f t="shared" si="29"/>
        <v>-D620-北縣三愛三店(定保)</v>
      </c>
      <c r="I157" s="195" t="s">
        <v>1749</v>
      </c>
      <c r="J157" s="193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5" t="str" cm="1">
        <f t="array" ref="L157">IF(K157&gt;0,IFERROR(HYPERLINK("#'IM'!AC"&amp;MATCH(1,(IM!$F$1:$F$7702=A157)*(ISNUMBER(SEARCH("PMQ2",IM!$AC$1:$AC$7702))),0),"檢核"),"未登錄"),"")</f>
        <v/>
      </c>
      <c r="M157" s="268" t="str" cm="1">
        <f t="array" ref="M157">IF(AND(SUMPRODUCT((IM!F2:F792=A157)*(ISNUMBER(SEARCH("EDC", IM!AC2:AC792))))&gt;0), "EDC", "")</f>
        <v/>
      </c>
      <c r="N157" s="311" t="str" cm="1">
        <f t="array" ref="N157">IF(AND(SUMPRODUCT((IM!F2:F792=A157)*(ISNUMBER(SEARCH("STAR", IM!AC2:AC792))))&gt;0), "STAR", "")</f>
        <v/>
      </c>
      <c r="O157" s="302" t="str" cm="1">
        <f t="array" ref="O157">IFERROR(INDEX(IM!$X$2:$X$652, MATCH(1, (IM!$F$2:$F$652=A157) * (ISNUMBER(SEARCH($D$1, IM!$AC$2:$AC$652))), 0)), "")</f>
        <v/>
      </c>
      <c r="P157" s="196" t="str">
        <f t="shared" si="30"/>
        <v>-D620-北縣三愛三店(定保)</v>
      </c>
      <c r="Q157" s="144"/>
      <c r="R157" s="144"/>
      <c r="S157" s="144"/>
      <c r="T157" s="144"/>
      <c r="U157" s="305">
        <f t="shared" si="31"/>
        <v>2</v>
      </c>
      <c r="V157" s="289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4" t="s">
        <v>28</v>
      </c>
      <c r="B158" s="185" t="s">
        <v>4100</v>
      </c>
      <c r="C158" s="186" t="str">
        <f>VLOOKUP($A158,'0919門市清單主檔'!B:V,20,FALSE)</f>
        <v>新北市</v>
      </c>
      <c r="D158" s="187" t="str">
        <f>VLOOKUP($A158,'0919門市清單主檔'!B:V,21,FALSE)</f>
        <v>三重區</v>
      </c>
      <c r="E158" s="188" t="str">
        <f>VLOOKUP(D158,區域表!A:B,2,FALSE)</f>
        <v>吳宗鴻</v>
      </c>
      <c r="F158" s="189" t="str">
        <f>IFERROR(IF(VLOOKUP(A158,門市狀態!A:D,4,FALSE)=0,"",VLOOKUP(A158,門市狀態!A:D,4,FALSE)),"")</f>
        <v/>
      </c>
      <c r="G158" s="190" t="s">
        <v>1749</v>
      </c>
      <c r="H158" s="191" t="str">
        <f t="shared" si="29"/>
        <v>-D346-三重維德店(定保)</v>
      </c>
      <c r="I158" s="195" t="s">
        <v>1749</v>
      </c>
      <c r="J158" s="193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5" t="str" cm="1">
        <f t="array" ref="L158">IF(K158&gt;0,IFERROR(HYPERLINK("#'IM'!AC"&amp;MATCH(1,(IM!$F$1:$F$7702=A158)*(ISNUMBER(SEARCH("PMQ2",IM!$AC$1:$AC$7702))),0),"檢核"),"未登錄"),"")</f>
        <v/>
      </c>
      <c r="M158" s="268" t="str" cm="1">
        <f t="array" ref="M158">IF(AND(SUMPRODUCT((IM!F2:F793=A158)*(ISNUMBER(SEARCH("EDC", IM!AC2:AC793))))&gt;0), "EDC", "")</f>
        <v/>
      </c>
      <c r="N158" s="311" t="str" cm="1">
        <f t="array" ref="N158">IF(AND(SUMPRODUCT((IM!F2:F793=A158)*(ISNUMBER(SEARCH("STAR", IM!AC2:AC793))))&gt;0), "STAR", "")</f>
        <v/>
      </c>
      <c r="O158" s="302" t="str" cm="1">
        <f t="array" ref="O158">IFERROR(INDEX(IM!$X$2:$X$652, MATCH(1, (IM!$F$2:$F$652=A158) * (ISNUMBER(SEARCH($D$1, IM!$AC$2:$AC$652))), 0)), "")</f>
        <v/>
      </c>
      <c r="P158" s="196" t="str">
        <f t="shared" si="30"/>
        <v>-D346-三重維德店(定保)</v>
      </c>
      <c r="Q158" s="144"/>
      <c r="R158" s="144"/>
      <c r="S158" s="144"/>
      <c r="T158" s="144"/>
      <c r="U158" s="305">
        <f t="shared" si="31"/>
        <v>1</v>
      </c>
      <c r="V158" s="289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4">
        <v>2303</v>
      </c>
      <c r="B159" s="185" t="s">
        <v>90</v>
      </c>
      <c r="C159" s="186" t="str">
        <f>VLOOKUP($A159,'0919門市清單主檔'!B:V,20,FALSE)</f>
        <v>新北市</v>
      </c>
      <c r="D159" s="187" t="str">
        <f>VLOOKUP($A159,'0919門市清單主檔'!B:V,21,FALSE)</f>
        <v>三重區</v>
      </c>
      <c r="E159" s="188" t="str">
        <f>VLOOKUP(D159,區域表!A:B,2,FALSE)</f>
        <v>吳宗鴻</v>
      </c>
      <c r="F159" s="189" t="str">
        <f>IFERROR(IF(VLOOKUP(A159,門市狀態!A:D,4,FALSE)=0,"",VLOOKUP(A159,門市狀態!A:D,4,FALSE)),"")</f>
        <v/>
      </c>
      <c r="G159" s="190" t="s">
        <v>1749</v>
      </c>
      <c r="H159" s="191" t="str">
        <f t="shared" si="29"/>
        <v>-2303-三重三和夜市(定保)</v>
      </c>
      <c r="I159" s="195" t="s">
        <v>1749</v>
      </c>
      <c r="J159" s="193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5" t="str" cm="1">
        <f t="array" ref="L159">IF(K159&gt;0,IFERROR(HYPERLINK("#'IM'!AC"&amp;MATCH(1,(IM!$F$1:$F$7702=A159)*(ISNUMBER(SEARCH("PMQ2",IM!$AC$1:$AC$7702))),0),"檢核"),"未登錄"),"")</f>
        <v/>
      </c>
      <c r="M159" s="268" t="str" cm="1">
        <f t="array" ref="M159">IF(AND(SUMPRODUCT((IM!F2:F794=A159)*(ISNUMBER(SEARCH("EDC", IM!AC2:AC794))))&gt;0), "EDC", "")</f>
        <v/>
      </c>
      <c r="N159" s="311" t="str" cm="1">
        <f t="array" ref="N159">IF(AND(SUMPRODUCT((IM!F2:F794=A159)*(ISNUMBER(SEARCH("STAR", IM!AC2:AC794))))&gt;0), "STAR", "")</f>
        <v/>
      </c>
      <c r="O159" s="302" t="str" cm="1">
        <f t="array" ref="O159">IFERROR(INDEX(IM!$X$2:$X$652, MATCH(1, (IM!$F$2:$F$652=A159) * (ISNUMBER(SEARCH($D$1, IM!$AC$2:$AC$652))), 0)), "")</f>
        <v/>
      </c>
      <c r="P159" s="196" t="str">
        <f t="shared" si="30"/>
        <v>-2303-三重三和夜市(定保)</v>
      </c>
      <c r="Q159" s="144"/>
      <c r="R159" s="144"/>
      <c r="S159" s="144"/>
      <c r="T159" s="144"/>
      <c r="U159" s="305">
        <f t="shared" si="31"/>
        <v>2</v>
      </c>
      <c r="V159" s="289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4">
        <v>4098</v>
      </c>
      <c r="B160" s="185" t="s">
        <v>1547</v>
      </c>
      <c r="C160" s="186" t="str">
        <f>VLOOKUP($A160,'0919門市清單主檔'!B:V,20,FALSE)</f>
        <v>新北市</v>
      </c>
      <c r="D160" s="187" t="str">
        <f>VLOOKUP($A160,'0919門市清單主檔'!B:V,21,FALSE)</f>
        <v>三重區</v>
      </c>
      <c r="E160" s="188" t="str">
        <f>VLOOKUP(D160,區域表!A:B,2,FALSE)</f>
        <v>吳宗鴻</v>
      </c>
      <c r="F160" s="189" t="str">
        <f>IFERROR(IF(VLOOKUP(A160,門市狀態!A:D,4,FALSE)=0,"",VLOOKUP(A160,門市狀態!A:D,4,FALSE)),"")</f>
        <v/>
      </c>
      <c r="G160" s="190" t="s">
        <v>1749</v>
      </c>
      <c r="H160" s="191" t="str">
        <f t="shared" si="29"/>
        <v>-4098-三重仁美店(定保)</v>
      </c>
      <c r="I160" s="195" t="s">
        <v>1749</v>
      </c>
      <c r="J160" s="193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5" t="str" cm="1">
        <f t="array" ref="L160">IF(K160&gt;0,IFERROR(HYPERLINK("#'IM'!AC"&amp;MATCH(1,(IM!$F$1:$F$7702=A160)*(ISNUMBER(SEARCH("PMQ2",IM!$AC$1:$AC$7702))),0),"檢核"),"未登錄"),"")</f>
        <v/>
      </c>
      <c r="M160" s="268" t="str" cm="1">
        <f t="array" ref="M160">IF(AND(SUMPRODUCT((IM!F2:F795=A160)*(ISNUMBER(SEARCH("EDC", IM!AC2:AC795))))&gt;0), "EDC", "")</f>
        <v/>
      </c>
      <c r="N160" s="311" t="str" cm="1">
        <f t="array" ref="N160">IF(AND(SUMPRODUCT((IM!F2:F795=A160)*(ISNUMBER(SEARCH("STAR", IM!AC2:AC795))))&gt;0), "STAR", "")</f>
        <v/>
      </c>
      <c r="O160" s="302" t="str" cm="1">
        <f t="array" ref="O160">IFERROR(INDEX(IM!$X$2:$X$652, MATCH(1, (IM!$F$2:$F$652=A160) * (ISNUMBER(SEARCH($D$1, IM!$AC$2:$AC$652))), 0)), "")</f>
        <v/>
      </c>
      <c r="P160" s="196" t="str">
        <f t="shared" si="30"/>
        <v>-4098-三重仁美店(定保)</v>
      </c>
      <c r="Q160" s="144"/>
      <c r="R160" s="144"/>
      <c r="S160" s="144"/>
      <c r="T160" s="144"/>
      <c r="U160" s="305">
        <f t="shared" si="31"/>
        <v>1</v>
      </c>
      <c r="V160" s="289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4">
        <v>3811</v>
      </c>
      <c r="B161" s="185" t="s">
        <v>4090</v>
      </c>
      <c r="C161" s="186" t="str">
        <f>VLOOKUP($A161,'0919門市清單主檔'!B:V,20,FALSE)</f>
        <v>新北市</v>
      </c>
      <c r="D161" s="187" t="str">
        <f>VLOOKUP($A161,'0919門市清單主檔'!B:V,21,FALSE)</f>
        <v>三重區</v>
      </c>
      <c r="E161" s="188" t="str">
        <f>VLOOKUP(D161,區域表!A:B,2,FALSE)</f>
        <v>吳宗鴻</v>
      </c>
      <c r="F161" s="189" t="str">
        <f>IFERROR(IF(VLOOKUP(A161,門市狀態!A:D,4,FALSE)=0,"",VLOOKUP(A161,門市狀態!A:D,4,FALSE)),"")</f>
        <v/>
      </c>
      <c r="G161" s="190" t="s">
        <v>1749</v>
      </c>
      <c r="H161" s="191" t="str">
        <f t="shared" si="29"/>
        <v>-3811-三重碧華公園(定保)</v>
      </c>
      <c r="I161" s="195" t="s">
        <v>1749</v>
      </c>
      <c r="J161" s="193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5" t="str" cm="1">
        <f t="array" ref="L161">IF(K161&gt;0,IFERROR(HYPERLINK("#'IM'!AC"&amp;MATCH(1,(IM!$F$1:$F$7702=A161)*(ISNUMBER(SEARCH("PMQ2",IM!$AC$1:$AC$7702))),0),"檢核"),"未登錄"),"")</f>
        <v/>
      </c>
      <c r="M161" s="268" t="str" cm="1">
        <f t="array" ref="M161">IF(AND(SUMPRODUCT((IM!F2:F796=A161)*(ISNUMBER(SEARCH("EDC", IM!AC2:AC796))))&gt;0), "EDC", "")</f>
        <v/>
      </c>
      <c r="N161" s="311" t="str" cm="1">
        <f t="array" ref="N161">IF(AND(SUMPRODUCT((IM!F2:F796=A161)*(ISNUMBER(SEARCH("STAR", IM!AC2:AC796))))&gt;0), "STAR", "")</f>
        <v/>
      </c>
      <c r="O161" s="302" t="str" cm="1">
        <f t="array" ref="O161">IFERROR(INDEX(IM!$X$2:$X$652, MATCH(1, (IM!$F$2:$F$652=A161) * (ISNUMBER(SEARCH($D$1, IM!$AC$2:$AC$652))), 0)), "")</f>
        <v/>
      </c>
      <c r="P161" s="196" t="str">
        <f t="shared" si="30"/>
        <v>-3811-三重碧華公園(定保)</v>
      </c>
      <c r="Q161" s="144"/>
      <c r="R161" s="144"/>
      <c r="S161" s="144"/>
      <c r="T161" s="144"/>
      <c r="U161" s="305">
        <f t="shared" si="31"/>
        <v>2</v>
      </c>
      <c r="V161" s="289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4" t="s">
        <v>43</v>
      </c>
      <c r="B162" s="185" t="s">
        <v>732</v>
      </c>
      <c r="C162" s="186" t="str">
        <f>VLOOKUP($A162,'0919門市清單主檔'!B:V,20,FALSE)</f>
        <v>新北市</v>
      </c>
      <c r="D162" s="187" t="str">
        <f>VLOOKUP($A162,'0919門市清單主檔'!B:V,21,FALSE)</f>
        <v>蘆洲區</v>
      </c>
      <c r="E162" s="188" t="str">
        <f>VLOOKUP(D162,區域表!A:B,2,FALSE)</f>
        <v>吳宗鴻</v>
      </c>
      <c r="F162" s="189" t="str">
        <f>IFERROR(IF(VLOOKUP(A162,門市狀態!A:D,4,FALSE)=0,"",VLOOKUP(A162,門市狀態!A:D,4,FALSE)),"")</f>
        <v/>
      </c>
      <c r="G162" s="190" t="s">
        <v>1750</v>
      </c>
      <c r="H162" s="191" t="str">
        <f t="shared" si="29"/>
        <v>-L517-車麗屋蘆洲店(定保)</v>
      </c>
      <c r="I162" s="195" t="s">
        <v>1749</v>
      </c>
      <c r="J162" s="193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5" t="str" cm="1">
        <f t="array" ref="L162">IF(K162&gt;0,IFERROR(HYPERLINK("#'IM'!AC"&amp;MATCH(1,(IM!$F$1:$F$7702=A162)*(ISNUMBER(SEARCH("PMQ2",IM!$AC$1:$AC$7702))),0),"檢核"),"未登錄"),"")</f>
        <v/>
      </c>
      <c r="M162" s="268" t="str" cm="1">
        <f t="array" ref="M162">IF(AND(SUMPRODUCT((IM!F2:F797=A162)*(ISNUMBER(SEARCH("EDC", IM!AC2:AC797))))&gt;0), "EDC", "")</f>
        <v/>
      </c>
      <c r="N162" s="311" t="str" cm="1">
        <f t="array" ref="N162">IF(AND(SUMPRODUCT((IM!F2:F797=A162)*(ISNUMBER(SEARCH("STAR", IM!AC2:AC797))))&gt;0), "STAR", "")</f>
        <v/>
      </c>
      <c r="O162" s="302" t="str" cm="1">
        <f t="array" ref="O162">IFERROR(INDEX(IM!$X$2:$X$652, MATCH(1, (IM!$F$2:$F$652=A162) * (ISNUMBER(SEARCH($D$1, IM!$AC$2:$AC$652))), 0)), "")</f>
        <v/>
      </c>
      <c r="P162" s="196" t="str">
        <f t="shared" si="30"/>
        <v>-L517-車麗屋蘆洲店(定保)</v>
      </c>
      <c r="Q162" s="144"/>
      <c r="R162" s="144"/>
      <c r="S162" s="144"/>
      <c r="T162" s="144"/>
      <c r="U162" s="305">
        <f t="shared" si="31"/>
        <v>0</v>
      </c>
      <c r="V162" s="289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4" t="s">
        <v>37</v>
      </c>
      <c r="B163" s="185" t="s">
        <v>649</v>
      </c>
      <c r="C163" s="186" t="str">
        <f>VLOOKUP($A163,'0919門市清單主檔'!B:V,20,FALSE)</f>
        <v>新北市</v>
      </c>
      <c r="D163" s="187" t="str">
        <f>VLOOKUP($A163,'0919門市清單主檔'!B:V,21,FALSE)</f>
        <v>三重區</v>
      </c>
      <c r="E163" s="188" t="str">
        <f>VLOOKUP(D163,區域表!A:B,2,FALSE)</f>
        <v>吳宗鴻</v>
      </c>
      <c r="F163" s="189" t="str">
        <f>IFERROR(IF(VLOOKUP(A163,門市狀態!A:D,4,FALSE)=0,"",VLOOKUP(A163,門市狀態!A:D,4,FALSE)),"")</f>
        <v/>
      </c>
      <c r="G163" s="190" t="s">
        <v>1749</v>
      </c>
      <c r="H163" s="191" t="str">
        <f t="shared" si="29"/>
        <v>-D350-北縣仁和店(定保)</v>
      </c>
      <c r="I163" s="195" t="s">
        <v>1749</v>
      </c>
      <c r="J163" s="193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5" t="str" cm="1">
        <f t="array" ref="L163">IF(K163&gt;0,IFERROR(HYPERLINK("#'IM'!AC"&amp;MATCH(1,(IM!$F$1:$F$7702=A163)*(ISNUMBER(SEARCH("PMQ2",IM!$AC$1:$AC$7702))),0),"檢核"),"未登錄"),"")</f>
        <v/>
      </c>
      <c r="M163" s="268" t="str" cm="1">
        <f t="array" ref="M163">IF(AND(SUMPRODUCT((IM!F2:F798=A163)*(ISNUMBER(SEARCH("EDC", IM!AC2:AC798))))&gt;0), "EDC", "")</f>
        <v/>
      </c>
      <c r="N163" s="311" t="str" cm="1">
        <f t="array" ref="N163">IF(AND(SUMPRODUCT((IM!F2:F798=A163)*(ISNUMBER(SEARCH("STAR", IM!AC2:AC798))))&gt;0), "STAR", "")</f>
        <v/>
      </c>
      <c r="O163" s="302" t="str" cm="1">
        <f t="array" ref="O163">IFERROR(INDEX(IM!$X$2:$X$652, MATCH(1, (IM!$F$2:$F$652=A163) * (ISNUMBER(SEARCH($D$1, IM!$AC$2:$AC$652))), 0)), "")</f>
        <v/>
      </c>
      <c r="P163" s="196" t="str">
        <f t="shared" si="30"/>
        <v>-D350-北縣仁和店(定保)</v>
      </c>
      <c r="Q163" s="144"/>
      <c r="R163" s="144"/>
      <c r="S163" s="144"/>
      <c r="T163" s="144"/>
      <c r="U163" s="305">
        <f t="shared" si="31"/>
        <v>2</v>
      </c>
      <c r="V163" s="289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4">
        <v>3957</v>
      </c>
      <c r="B164" s="185" t="s">
        <v>273</v>
      </c>
      <c r="C164" s="186" t="str">
        <f>VLOOKUP($A164,'0919門市清單主檔'!B:V,20,FALSE)</f>
        <v>新北市</v>
      </c>
      <c r="D164" s="187" t="str">
        <f>VLOOKUP($A164,'0919門市清單主檔'!B:V,21,FALSE)</f>
        <v>三重區</v>
      </c>
      <c r="E164" s="188" t="str">
        <f>VLOOKUP(D164,區域表!A:B,2,FALSE)</f>
        <v>吳宗鴻</v>
      </c>
      <c r="F164" s="189" t="str">
        <f>IFERROR(IF(VLOOKUP(A164,門市狀態!A:D,4,FALSE)=0,"",VLOOKUP(A164,門市狀態!A:D,4,FALSE)),"")</f>
        <v/>
      </c>
      <c r="G164" s="190" t="s">
        <v>1749</v>
      </c>
      <c r="H164" s="191" t="str">
        <f t="shared" si="29"/>
        <v>-3957-三重福仁店(定保)</v>
      </c>
      <c r="I164" s="195" t="s">
        <v>1749</v>
      </c>
      <c r="J164" s="193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5" t="str" cm="1">
        <f t="array" ref="L164">IF(K164&gt;0,IFERROR(HYPERLINK("#'IM'!AC"&amp;MATCH(1,(IM!$F$1:$F$7702=A164)*(ISNUMBER(SEARCH("PMQ2",IM!$AC$1:$AC$7702))),0),"檢核"),"未登錄"),"")</f>
        <v/>
      </c>
      <c r="M164" s="268" t="str" cm="1">
        <f t="array" ref="M164">IF(AND(SUMPRODUCT((IM!F2:F799=A164)*(ISNUMBER(SEARCH("EDC", IM!AC2:AC799))))&gt;0), "EDC", "")</f>
        <v/>
      </c>
      <c r="N164" s="311" t="str" cm="1">
        <f t="array" ref="N164">IF(AND(SUMPRODUCT((IM!F2:F799=A164)*(ISNUMBER(SEARCH("STAR", IM!AC2:AC799))))&gt;0), "STAR", "")</f>
        <v/>
      </c>
      <c r="O164" s="302" t="str" cm="1">
        <f t="array" ref="O164">IFERROR(INDEX(IM!$X$2:$X$652, MATCH(1, (IM!$F$2:$F$652=A164) * (ISNUMBER(SEARCH($D$1, IM!$AC$2:$AC$652))), 0)), "")</f>
        <v/>
      </c>
      <c r="P164" s="196" t="str">
        <f t="shared" si="30"/>
        <v>-3957-三重福仁店(定保)</v>
      </c>
      <c r="Q164" s="144"/>
      <c r="R164" s="144"/>
      <c r="S164" s="144"/>
      <c r="T164" s="144"/>
      <c r="U164" s="305">
        <f t="shared" si="31"/>
        <v>2</v>
      </c>
      <c r="V164" s="289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4">
        <v>3452</v>
      </c>
      <c r="B165" s="185" t="s">
        <v>192</v>
      </c>
      <c r="C165" s="186" t="str">
        <f>VLOOKUP($A165,'0919門市清單主檔'!B:V,20,FALSE)</f>
        <v>新北市</v>
      </c>
      <c r="D165" s="187" t="str">
        <f>VLOOKUP($A165,'0919門市清單主檔'!B:V,21,FALSE)</f>
        <v>蘆洲區</v>
      </c>
      <c r="E165" s="188" t="str">
        <f>VLOOKUP(D165,區域表!A:B,2,FALSE)</f>
        <v>吳宗鴻</v>
      </c>
      <c r="F165" s="189" t="str">
        <f>IFERROR(IF(VLOOKUP(A165,門市狀態!A:D,4,FALSE)=0,"",VLOOKUP(A165,門市狀態!A:D,4,FALSE)),"")</f>
        <v/>
      </c>
      <c r="G165" s="190" t="s">
        <v>1749</v>
      </c>
      <c r="H165" s="191" t="str">
        <f t="shared" si="29"/>
        <v>-3452-北縣蘆信店(定保)</v>
      </c>
      <c r="I165" s="195" t="s">
        <v>1749</v>
      </c>
      <c r="J165" s="193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5" t="str" cm="1">
        <f t="array" ref="L165">IF(K165&gt;0,IFERROR(HYPERLINK("#'IM'!AC"&amp;MATCH(1,(IM!$F$1:$F$7702=A165)*(ISNUMBER(SEARCH("PMQ2",IM!$AC$1:$AC$7702))),0),"檢核"),"未登錄"),"")</f>
        <v/>
      </c>
      <c r="M165" s="268" t="str" cm="1">
        <f t="array" ref="M165">IF(AND(SUMPRODUCT((IM!F2:F800=A165)*(ISNUMBER(SEARCH("EDC", IM!AC2:AC800))))&gt;0), "EDC", "")</f>
        <v/>
      </c>
      <c r="N165" s="311" t="str" cm="1">
        <f t="array" ref="N165">IF(AND(SUMPRODUCT((IM!F2:F800=A165)*(ISNUMBER(SEARCH("STAR", IM!AC2:AC800))))&gt;0), "STAR", "")</f>
        <v/>
      </c>
      <c r="O165" s="302" t="str" cm="1">
        <f t="array" ref="O165">IFERROR(INDEX(IM!$X$2:$X$652, MATCH(1, (IM!$F$2:$F$652=A165) * (ISNUMBER(SEARCH($D$1, IM!$AC$2:$AC$652))), 0)), "")</f>
        <v/>
      </c>
      <c r="P165" s="196" t="str">
        <f t="shared" si="30"/>
        <v>-3452-北縣蘆信店(定保)</v>
      </c>
      <c r="Q165" s="144"/>
      <c r="R165" s="144"/>
      <c r="S165" s="144"/>
      <c r="T165" s="144"/>
      <c r="U165" s="305">
        <f t="shared" si="31"/>
        <v>2</v>
      </c>
      <c r="V165" s="289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4">
        <v>2302</v>
      </c>
      <c r="B166" s="185" t="s">
        <v>89</v>
      </c>
      <c r="C166" s="186" t="str">
        <f>VLOOKUP($A166,'0919門市清單主檔'!B:V,20,FALSE)</f>
        <v>新北市</v>
      </c>
      <c r="D166" s="187" t="str">
        <f>VLOOKUP($A166,'0919門市清單主檔'!B:V,21,FALSE)</f>
        <v>三重區</v>
      </c>
      <c r="E166" s="188" t="str">
        <f>VLOOKUP(D166,區域表!A:B,2,FALSE)</f>
        <v>吳宗鴻</v>
      </c>
      <c r="F166" s="189" t="str">
        <f>IFERROR(IF(VLOOKUP(A166,門市狀態!A:D,4,FALSE)=0,"",VLOOKUP(A166,門市狀態!A:D,4,FALSE)),"")</f>
        <v/>
      </c>
      <c r="G166" s="190" t="s">
        <v>1749</v>
      </c>
      <c r="H166" s="191" t="str">
        <f t="shared" si="29"/>
        <v>-2302-北縣重安店(定保)</v>
      </c>
      <c r="I166" s="195" t="s">
        <v>1749</v>
      </c>
      <c r="J166" s="193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5" t="str" cm="1">
        <f t="array" ref="L166">IF(K166&gt;0,IFERROR(HYPERLINK("#'IM'!AC"&amp;MATCH(1,(IM!$F$1:$F$7702=A166)*(ISNUMBER(SEARCH("PMQ2",IM!$AC$1:$AC$7702))),0),"檢核"),"未登錄"),"")</f>
        <v/>
      </c>
      <c r="M166" s="268" t="str" cm="1">
        <f t="array" ref="M166">IF(AND(SUMPRODUCT((IM!F2:F801=A166)*(ISNUMBER(SEARCH("EDC", IM!AC2:AC801))))&gt;0), "EDC", "")</f>
        <v/>
      </c>
      <c r="N166" s="311" t="str" cm="1">
        <f t="array" ref="N166">IF(AND(SUMPRODUCT((IM!F2:F801=A166)*(ISNUMBER(SEARCH("STAR", IM!AC2:AC801))))&gt;0), "STAR", "")</f>
        <v/>
      </c>
      <c r="O166" s="302" t="str" cm="1">
        <f t="array" ref="O166">IFERROR(INDEX(IM!$X$2:$X$652, MATCH(1, (IM!$F$2:$F$652=A166) * (ISNUMBER(SEARCH($D$1, IM!$AC$2:$AC$652))), 0)), "")</f>
        <v/>
      </c>
      <c r="P166" s="196" t="str">
        <f t="shared" si="30"/>
        <v>-2302-北縣重安店(定保)</v>
      </c>
      <c r="Q166" s="144"/>
      <c r="R166" s="144"/>
      <c r="S166" s="144"/>
      <c r="T166" s="144"/>
      <c r="U166" s="305">
        <f t="shared" si="31"/>
        <v>2</v>
      </c>
      <c r="V166" s="289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4">
        <v>4218</v>
      </c>
      <c r="B167" s="185" t="s">
        <v>4126</v>
      </c>
      <c r="C167" s="186" t="str">
        <f>VLOOKUP($A167,'0919門市清單主檔'!B:V,20,FALSE)</f>
        <v>新北市</v>
      </c>
      <c r="D167" s="187" t="str">
        <f>VLOOKUP($A167,'0919門市清單主檔'!B:V,21,FALSE)</f>
        <v>蘆洲區</v>
      </c>
      <c r="E167" s="188" t="str">
        <f>VLOOKUP(D167,區域表!A:B,2,FALSE)</f>
        <v>吳宗鴻</v>
      </c>
      <c r="F167" s="189" t="str">
        <f>IFERROR(IF(VLOOKUP(A167,門市狀態!A:D,4,FALSE)=0,"",VLOOKUP(A167,門市狀態!A:D,4,FALSE)),"")</f>
        <v/>
      </c>
      <c r="G167" s="190" t="s">
        <v>1749</v>
      </c>
      <c r="H167" s="191" t="str">
        <f t="shared" si="29"/>
        <v>-4218-蘆洲湧蓮店(定保)</v>
      </c>
      <c r="I167" s="195" t="s">
        <v>1749</v>
      </c>
      <c r="J167" s="193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5" t="str" cm="1">
        <f t="array" ref="L167">IF(K167&gt;0,IFERROR(HYPERLINK("#'IM'!AC"&amp;MATCH(1,(IM!$F$1:$F$7702=A167)*(ISNUMBER(SEARCH("PMQ2",IM!$AC$1:$AC$7702))),0),"檢核"),"未登錄"),"")</f>
        <v/>
      </c>
      <c r="M167" s="268" t="str" cm="1">
        <f t="array" ref="M167">IF(AND(SUMPRODUCT((IM!F2:F802=A167)*(ISNUMBER(SEARCH("EDC", IM!AC2:AC802))))&gt;0), "EDC", "")</f>
        <v/>
      </c>
      <c r="N167" s="311" t="str" cm="1">
        <f t="array" ref="N167">IF(AND(SUMPRODUCT((IM!F2:F802=A167)*(ISNUMBER(SEARCH("STAR", IM!AC2:AC802))))&gt;0), "STAR", "")</f>
        <v/>
      </c>
      <c r="O167" s="302" t="str" cm="1">
        <f t="array" ref="O167">IFERROR(INDEX(IM!$X$2:$X$652, MATCH(1, (IM!$F$2:$F$652=A167) * (ISNUMBER(SEARCH($D$1, IM!$AC$2:$AC$652))), 0)), "")</f>
        <v/>
      </c>
      <c r="P167" s="196" t="str">
        <f t="shared" si="30"/>
        <v>-4218-蘆洲湧蓮店(定保)</v>
      </c>
      <c r="Q167" s="144"/>
      <c r="R167" s="144"/>
      <c r="S167" s="144"/>
      <c r="T167" s="144"/>
      <c r="U167" s="305">
        <f t="shared" si="31"/>
        <v>1</v>
      </c>
      <c r="V167" s="289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4">
        <v>3929</v>
      </c>
      <c r="B168" s="185" t="s">
        <v>1531</v>
      </c>
      <c r="C168" s="186" t="str">
        <f>VLOOKUP($A168,'0919門市清單主檔'!B:V,20,FALSE)</f>
        <v>新北市</v>
      </c>
      <c r="D168" s="187" t="str">
        <f>VLOOKUP($A168,'0919門市清單主檔'!B:V,21,FALSE)</f>
        <v>蘆洲區</v>
      </c>
      <c r="E168" s="188" t="str">
        <f>VLOOKUP(D168,區域表!A:B,2,FALSE)</f>
        <v>吳宗鴻</v>
      </c>
      <c r="F168" s="189" t="str">
        <f>IFERROR(IF(VLOOKUP(A168,門市狀態!A:D,4,FALSE)=0,"",VLOOKUP(A168,門市狀態!A:D,4,FALSE)),"")</f>
        <v/>
      </c>
      <c r="G168" s="190" t="s">
        <v>1749</v>
      </c>
      <c r="H168" s="191" t="str">
        <f t="shared" si="29"/>
        <v>-3929-蘆洲中山一(定保)</v>
      </c>
      <c r="I168" s="195" t="s">
        <v>1749</v>
      </c>
      <c r="J168" s="193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5" t="str" cm="1">
        <f t="array" ref="L168">IF(K168&gt;0,IFERROR(HYPERLINK("#'IM'!AC"&amp;MATCH(1,(IM!$F$1:$F$7702=A168)*(ISNUMBER(SEARCH("PMQ2",IM!$AC$1:$AC$7702))),0),"檢核"),"未登錄"),"")</f>
        <v/>
      </c>
      <c r="M168" s="268" t="str" cm="1">
        <f t="array" ref="M168">IF(AND(SUMPRODUCT((IM!F2:F803=A168)*(ISNUMBER(SEARCH("EDC", IM!AC2:AC803))))&gt;0), "EDC", "")</f>
        <v/>
      </c>
      <c r="N168" s="311" t="str" cm="1">
        <f t="array" ref="N168">IF(AND(SUMPRODUCT((IM!F2:F803=A168)*(ISNUMBER(SEARCH("STAR", IM!AC2:AC803))))&gt;0), "STAR", "")</f>
        <v/>
      </c>
      <c r="O168" s="302" t="str" cm="1">
        <f t="array" ref="O168">IFERROR(INDEX(IM!$X$2:$X$652, MATCH(1, (IM!$F$2:$F$652=A168) * (ISNUMBER(SEARCH($D$1, IM!$AC$2:$AC$652))), 0)), "")</f>
        <v/>
      </c>
      <c r="P168" s="196" t="str">
        <f t="shared" si="30"/>
        <v>-3929-蘆洲中山一(定保)</v>
      </c>
      <c r="Q168" s="144"/>
      <c r="R168" s="144"/>
      <c r="S168" s="144"/>
      <c r="T168" s="144"/>
      <c r="U168" s="305">
        <f t="shared" si="31"/>
        <v>1</v>
      </c>
      <c r="V168" s="289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4">
        <v>4658</v>
      </c>
      <c r="B169" s="185" t="s">
        <v>479</v>
      </c>
      <c r="C169" s="186" t="str">
        <f>VLOOKUP($A169,'0919門市清單主檔'!B:V,20,FALSE)</f>
        <v>新北市</v>
      </c>
      <c r="D169" s="187" t="str">
        <f>VLOOKUP($A169,'0919門市清單主檔'!B:V,21,FALSE)</f>
        <v>淡水區</v>
      </c>
      <c r="E169" s="188" t="str">
        <f>VLOOKUP(D169,區域表!A:B,2,FALSE)</f>
        <v>吳宗鴻</v>
      </c>
      <c r="F169" s="189" t="str">
        <f>IFERROR(IF(VLOOKUP(A169,門市狀態!A:D,4,FALSE)=0,"",VLOOKUP(A169,門市狀態!A:D,4,FALSE)),"")</f>
        <v/>
      </c>
      <c r="G169" s="190" t="s">
        <v>1749</v>
      </c>
      <c r="H169" s="191" t="str">
        <f t="shared" si="29"/>
        <v>-4658-淡水英才店(定保)</v>
      </c>
      <c r="I169" s="195" t="s">
        <v>1749</v>
      </c>
      <c r="J169" s="193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5" t="str" cm="1">
        <f t="array" ref="L169">IF(K169&gt;0,IFERROR(HYPERLINK("#'IM'!AC"&amp;MATCH(1,(IM!$F$1:$F$7702=A169)*(ISNUMBER(SEARCH("PMQ2",IM!$AC$1:$AC$7702))),0),"檢核"),"未登錄"),"")</f>
        <v/>
      </c>
      <c r="M169" s="268" t="str" cm="1">
        <f t="array" ref="M169">IF(AND(SUMPRODUCT((IM!F2:F804=A169)*(ISNUMBER(SEARCH("EDC", IM!AC2:AC804))))&gt;0), "EDC", "")</f>
        <v/>
      </c>
      <c r="N169" s="311" t="str" cm="1">
        <f t="array" ref="N169">IF(AND(SUMPRODUCT((IM!F2:F804=A169)*(ISNUMBER(SEARCH("STAR", IM!AC2:AC804))))&gt;0), "STAR", "")</f>
        <v/>
      </c>
      <c r="O169" s="302" t="str" cm="1">
        <f t="array" ref="O169">IFERROR(INDEX(IM!$X$2:$X$652, MATCH(1, (IM!$F$2:$F$652=A169) * (ISNUMBER(SEARCH($D$1, IM!$AC$2:$AC$652))), 0)), "")</f>
        <v/>
      </c>
      <c r="P169" s="196" t="str">
        <f t="shared" si="30"/>
        <v>-4658-淡水英才店(定保)</v>
      </c>
      <c r="Q169" s="144"/>
      <c r="R169" s="144"/>
      <c r="S169" s="144"/>
      <c r="T169" s="144"/>
      <c r="U169" s="305">
        <f t="shared" si="31"/>
        <v>0</v>
      </c>
      <c r="V169" s="289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4">
        <v>3751</v>
      </c>
      <c r="B170" s="185" t="s">
        <v>233</v>
      </c>
      <c r="C170" s="186" t="str">
        <f>VLOOKUP($A170,'0919門市清單主檔'!B:V,20,FALSE)</f>
        <v>新北市</v>
      </c>
      <c r="D170" s="187" t="str">
        <f>VLOOKUP($A170,'0919門市清單主檔'!B:V,21,FALSE)</f>
        <v>淡水區</v>
      </c>
      <c r="E170" s="188" t="str">
        <f>VLOOKUP(D170,區域表!A:B,2,FALSE)</f>
        <v>吳宗鴻</v>
      </c>
      <c r="F170" s="189" t="str">
        <f>IFERROR(IF(VLOOKUP(A170,門市狀態!A:D,4,FALSE)=0,"",VLOOKUP(A170,門市狀態!A:D,4,FALSE)),"")</f>
        <v/>
      </c>
      <c r="G170" s="190" t="s">
        <v>4089</v>
      </c>
      <c r="H170" s="191" t="str">
        <f t="shared" si="29"/>
        <v>-3751-淡水真理大(定保)</v>
      </c>
      <c r="I170" s="195" t="s">
        <v>1749</v>
      </c>
      <c r="J170" s="193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5" t="str" cm="1">
        <f t="array" ref="L170">IF(K170&gt;0,IFERROR(HYPERLINK("#'IM'!AC"&amp;MATCH(1,(IM!$F$1:$F$7702=A170)*(ISNUMBER(SEARCH("PMQ2",IM!$AC$1:$AC$7702))),0),"檢核"),"未登錄"),"")</f>
        <v/>
      </c>
      <c r="M170" s="268" t="str" cm="1">
        <f t="array" ref="M170">IF(AND(SUMPRODUCT((IM!F2:F806=A170)*(ISNUMBER(SEARCH("EDC", IM!AC2:AC806))))&gt;0), "EDC", "")</f>
        <v/>
      </c>
      <c r="N170" s="311" t="str" cm="1">
        <f t="array" ref="N170">IF(AND(SUMPRODUCT((IM!F2:F806=A170)*(ISNUMBER(SEARCH("STAR", IM!AC2:AC806))))&gt;0), "STAR", "")</f>
        <v/>
      </c>
      <c r="O170" s="302" t="str" cm="1">
        <f t="array" ref="O170">IFERROR(INDEX(IM!$X$2:$X$652, MATCH(1, (IM!$F$2:$F$652=A170) * (ISNUMBER(SEARCH($D$1, IM!$AC$2:$AC$652))), 0)), "")</f>
        <v/>
      </c>
      <c r="P170" s="196" t="str">
        <f t="shared" si="30"/>
        <v>-3751-淡水真理大(定保)</v>
      </c>
      <c r="Q170" s="144"/>
      <c r="R170" s="144"/>
      <c r="S170" s="144"/>
      <c r="T170" s="144"/>
      <c r="U170" s="305">
        <f t="shared" si="31"/>
        <v>2</v>
      </c>
      <c r="V170" s="289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4">
        <v>3965</v>
      </c>
      <c r="B171" s="185" t="s">
        <v>279</v>
      </c>
      <c r="C171" s="186" t="str">
        <f>VLOOKUP($A171,'0919門市清單主檔'!B:V,20,FALSE)</f>
        <v>新北市</v>
      </c>
      <c r="D171" s="187" t="str">
        <f>VLOOKUP($A171,'0919門市清單主檔'!B:V,21,FALSE)</f>
        <v>板橋區</v>
      </c>
      <c r="E171" s="188" t="str">
        <f>VLOOKUP(D171,區域表!A:B,2,FALSE)</f>
        <v>狄澤洋</v>
      </c>
      <c r="F171" s="189" t="str">
        <f>IFERROR(IF(VLOOKUP(A171,門市狀態!A:D,4,FALSE)=0,"",VLOOKUP(A171,門市狀態!A:D,4,FALSE)),"")</f>
        <v/>
      </c>
      <c r="G171" s="190" t="s">
        <v>1749</v>
      </c>
      <c r="H171" s="191" t="str">
        <f t="shared" si="29"/>
        <v>-3965-板橋民治店(定保)</v>
      </c>
      <c r="I171" s="195" t="s">
        <v>1749</v>
      </c>
      <c r="J171" s="193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5" t="str" cm="1">
        <f t="array" ref="L171">IF(K171&gt;0,IFERROR(HYPERLINK("#'IM'!AC"&amp;MATCH(1,(IM!$F$1:$F$7702=A171)*(ISNUMBER(SEARCH("PMQ2",IM!$AC$1:$AC$7702))),0),"檢核"),"未登錄"),"")</f>
        <v/>
      </c>
      <c r="M171" s="268" t="str" cm="1">
        <f t="array" ref="M171">IF(AND(SUMPRODUCT((IM!F2:F807=A171)*(ISNUMBER(SEARCH("EDC", IM!AC2:AC807))))&gt;0), "EDC", "")</f>
        <v/>
      </c>
      <c r="N171" s="311" t="str" cm="1">
        <f t="array" ref="N171">IF(AND(SUMPRODUCT((IM!F2:F807=A171)*(ISNUMBER(SEARCH("STAR", IM!AC2:AC807))))&gt;0), "STAR", "")</f>
        <v/>
      </c>
      <c r="O171" s="302" t="str" cm="1">
        <f t="array" ref="O171">IFERROR(INDEX(IM!$X$2:$X$652, MATCH(1, (IM!$F$2:$F$652=A171) * (ISNUMBER(SEARCH($D$1, IM!$AC$2:$AC$652))), 0)), "")</f>
        <v/>
      </c>
      <c r="P171" s="196" t="str">
        <f t="shared" si="30"/>
        <v>-3965-板橋民治店(定保)</v>
      </c>
      <c r="Q171" s="144"/>
      <c r="R171" s="144"/>
      <c r="S171" s="144"/>
      <c r="T171" s="144"/>
      <c r="U171" s="305">
        <f t="shared" si="31"/>
        <v>2</v>
      </c>
      <c r="V171" s="289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4">
        <v>5101</v>
      </c>
      <c r="B172" s="185" t="s">
        <v>588</v>
      </c>
      <c r="C172" s="186" t="str">
        <f>VLOOKUP($A172,'0919門市清單主檔'!B:V,20,FALSE)</f>
        <v>新北市</v>
      </c>
      <c r="D172" s="187" t="str">
        <f>VLOOKUP($A172,'0919門市清單主檔'!B:V,21,FALSE)</f>
        <v>淡水區</v>
      </c>
      <c r="E172" s="188" t="str">
        <f>VLOOKUP(D172,區域表!A:B,2,FALSE)</f>
        <v>吳宗鴻</v>
      </c>
      <c r="F172" s="189" t="str">
        <f>IFERROR(IF(VLOOKUP(A172,門市狀態!A:D,4,FALSE)=0,"",VLOOKUP(A172,門市狀態!A:D,4,FALSE)),"")</f>
        <v/>
      </c>
      <c r="G172" s="190" t="s">
        <v>1749</v>
      </c>
      <c r="H172" s="191" t="str">
        <f t="shared" si="29"/>
        <v>-5101-淡水小坪頂(定保)</v>
      </c>
      <c r="I172" s="195" t="s">
        <v>1749</v>
      </c>
      <c r="J172" s="193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5" t="str" cm="1">
        <f t="array" ref="L172">IF(K172&gt;0,IFERROR(HYPERLINK("#'IM'!AC"&amp;MATCH(1,(IM!$F$1:$F$7702=A172)*(ISNUMBER(SEARCH("PMQ2",IM!$AC$1:$AC$7702))),0),"檢核"),"未登錄"),"")</f>
        <v/>
      </c>
      <c r="M172" s="268" t="str" cm="1">
        <f t="array" ref="M172">IF(AND(SUMPRODUCT((IM!F2:F808=A172)*(ISNUMBER(SEARCH("EDC", IM!AC2:AC808))))&gt;0), "EDC", "")</f>
        <v/>
      </c>
      <c r="N172" s="311" t="str" cm="1">
        <f t="array" ref="N172">IF(AND(SUMPRODUCT((IM!F2:F808=A172)*(ISNUMBER(SEARCH("STAR", IM!AC2:AC808))))&gt;0), "STAR", "")</f>
        <v/>
      </c>
      <c r="O172" s="302" t="str" cm="1">
        <f t="array" ref="O172">IFERROR(INDEX(IM!$X$2:$X$652, MATCH(1, (IM!$F$2:$F$652=A172) * (ISNUMBER(SEARCH($D$1, IM!$AC$2:$AC$652))), 0)), "")</f>
        <v/>
      </c>
      <c r="P172" s="196" t="str">
        <f t="shared" si="30"/>
        <v>-5101-淡水小坪頂(定保)</v>
      </c>
      <c r="Q172" s="144"/>
      <c r="R172" s="144"/>
      <c r="S172" s="144"/>
      <c r="T172" s="144"/>
      <c r="U172" s="305">
        <f t="shared" si="31"/>
        <v>0</v>
      </c>
      <c r="V172" s="289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4">
        <v>4739</v>
      </c>
      <c r="B173" s="185" t="s">
        <v>506</v>
      </c>
      <c r="C173" s="186" t="str">
        <f>VLOOKUP($A173,'0919門市清單主檔'!B:V,20,FALSE)</f>
        <v>新北市</v>
      </c>
      <c r="D173" s="187" t="str">
        <f>VLOOKUP($A173,'0919門市清單主檔'!B:V,21,FALSE)</f>
        <v>淡水區</v>
      </c>
      <c r="E173" s="188" t="str">
        <f>VLOOKUP(D173,區域表!A:B,2,FALSE)</f>
        <v>吳宗鴻</v>
      </c>
      <c r="F173" s="189" t="str">
        <f>IFERROR(IF(VLOOKUP(A173,門市狀態!A:D,4,FALSE)=0,"",VLOOKUP(A173,門市狀態!A:D,4,FALSE)),"")</f>
        <v/>
      </c>
      <c r="G173" s="190" t="s">
        <v>1749</v>
      </c>
      <c r="H173" s="191" t="str">
        <f t="shared" si="29"/>
        <v>-4739-淡水櫻花店(定保)</v>
      </c>
      <c r="I173" s="195" t="s">
        <v>1749</v>
      </c>
      <c r="J173" s="193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5" t="str" cm="1">
        <f t="array" ref="L173">IF(K173&gt;0,IFERROR(HYPERLINK("#'IM'!AC"&amp;MATCH(1,(IM!$F$1:$F$7702=A173)*(ISNUMBER(SEARCH("PMQ2",IM!$AC$1:$AC$7702))),0),"檢核"),"未登錄"),"")</f>
        <v/>
      </c>
      <c r="M173" s="268" t="str" cm="1">
        <f t="array" ref="M173">IF(AND(SUMPRODUCT((IM!F2:F809=A173)*(ISNUMBER(SEARCH("EDC", IM!AC2:AC809))))&gt;0), "EDC", "")</f>
        <v/>
      </c>
      <c r="N173" s="311" t="str" cm="1">
        <f t="array" ref="N173">IF(AND(SUMPRODUCT((IM!F2:F809=A173)*(ISNUMBER(SEARCH("STAR", IM!AC2:AC809))))&gt;0), "STAR", "")</f>
        <v/>
      </c>
      <c r="O173" s="302" t="str" cm="1">
        <f t="array" ref="O173">IFERROR(INDEX(IM!$X$2:$X$652, MATCH(1, (IM!$F$2:$F$652=A173) * (ISNUMBER(SEARCH($D$1, IM!$AC$2:$AC$652))), 0)), "")</f>
        <v/>
      </c>
      <c r="P173" s="196" t="str">
        <f t="shared" si="30"/>
        <v>-4739-淡水櫻花店(定保)</v>
      </c>
      <c r="Q173" s="144"/>
      <c r="R173" s="144"/>
      <c r="S173" s="144"/>
      <c r="T173" s="144"/>
      <c r="U173" s="305">
        <f t="shared" si="31"/>
        <v>1</v>
      </c>
      <c r="V173" s="289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4">
        <v>5080</v>
      </c>
      <c r="B174" s="185" t="s">
        <v>586</v>
      </c>
      <c r="C174" s="186" t="str">
        <f>VLOOKUP($A174,'0919門市清單主檔'!B:V,20,FALSE)</f>
        <v>新北市</v>
      </c>
      <c r="D174" s="187" t="str">
        <f>VLOOKUP($A174,'0919門市清單主檔'!B:V,21,FALSE)</f>
        <v>三芝區</v>
      </c>
      <c r="E174" s="188" t="str">
        <f>VLOOKUP(D174,區域表!A:B,2,FALSE)</f>
        <v>吳宗鴻</v>
      </c>
      <c r="F174" s="189" t="str">
        <f>IFERROR(IF(VLOOKUP(A174,門市狀態!A:D,4,FALSE)=0,"",VLOOKUP(A174,門市狀態!A:D,4,FALSE)),"")</f>
        <v/>
      </c>
      <c r="G174" s="190" t="s">
        <v>1749</v>
      </c>
      <c r="H174" s="191" t="str">
        <f t="shared" si="29"/>
        <v>-5080-三芝楓愛林(定保)</v>
      </c>
      <c r="I174" s="195" t="s">
        <v>1749</v>
      </c>
      <c r="J174" s="193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5" t="str" cm="1">
        <f t="array" ref="L174">IF(K174&gt;0,IFERROR(HYPERLINK("#'IM'!AC"&amp;MATCH(1,(IM!$F$1:$F$7702=A174)*(ISNUMBER(SEARCH("PMQ2",IM!$AC$1:$AC$7702))),0),"檢核"),"未登錄"),"")</f>
        <v/>
      </c>
      <c r="M174" s="268" t="str" cm="1">
        <f t="array" ref="M174">IF(AND(SUMPRODUCT((IM!F2:F810=A174)*(ISNUMBER(SEARCH("EDC", IM!AC2:AC810))))&gt;0), "EDC", "")</f>
        <v/>
      </c>
      <c r="N174" s="311" t="str" cm="1">
        <f t="array" ref="N174">IF(AND(SUMPRODUCT((IM!F2:F810=A174)*(ISNUMBER(SEARCH("STAR", IM!AC2:AC810))))&gt;0), "STAR", "")</f>
        <v/>
      </c>
      <c r="O174" s="302" t="str" cm="1">
        <f t="array" ref="O174">IFERROR(INDEX(IM!$X$2:$X$652, MATCH(1, (IM!$F$2:$F$652=A174) * (ISNUMBER(SEARCH($D$1, IM!$AC$2:$AC$652))), 0)), "")</f>
        <v/>
      </c>
      <c r="P174" s="196" t="str">
        <f t="shared" si="30"/>
        <v>-5080-三芝楓愛林(定保)</v>
      </c>
      <c r="Q174" s="144"/>
      <c r="R174" s="144"/>
      <c r="S174" s="144"/>
      <c r="T174" s="144"/>
      <c r="U174" s="305">
        <f t="shared" si="31"/>
        <v>0</v>
      </c>
      <c r="V174" s="289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4">
        <v>4154</v>
      </c>
      <c r="B175" s="185" t="s">
        <v>319</v>
      </c>
      <c r="C175" s="186" t="str">
        <f>VLOOKUP($A175,'0919門市清單主檔'!B:V,20,FALSE)</f>
        <v>新北市</v>
      </c>
      <c r="D175" s="187" t="str">
        <f>VLOOKUP($A175,'0919門市清單主檔'!B:V,21,FALSE)</f>
        <v>林口區</v>
      </c>
      <c r="E175" s="188" t="str">
        <f>VLOOKUP(D175,區域表!A:B,2,FALSE)</f>
        <v>湯家瑋</v>
      </c>
      <c r="F175" s="189" t="str">
        <f>IFERROR(IF(VLOOKUP(A175,門市狀態!A:D,4,FALSE)=0,"",VLOOKUP(A175,門市狀態!A:D,4,FALSE)),"")</f>
        <v/>
      </c>
      <c r="G175" s="190" t="s">
        <v>1749</v>
      </c>
      <c r="H175" s="191" t="str">
        <f t="shared" si="29"/>
        <v>-4154-林口麗園店(定保)</v>
      </c>
      <c r="I175" s="195" t="s">
        <v>1749</v>
      </c>
      <c r="J175" s="193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5" t="str" cm="1">
        <f t="array" ref="L175">IF(K175&gt;0,IFERROR(HYPERLINK("#'IM'!AC"&amp;MATCH(1,(IM!$F$1:$F$7702=A175)*(ISNUMBER(SEARCH("PMQ2",IM!$AC$1:$AC$7702))),0),"檢核"),"未登錄"),"")</f>
        <v/>
      </c>
      <c r="M175" s="268" t="str" cm="1">
        <f t="array" ref="M175">IF(AND(SUMPRODUCT((IM!F2:F811=A175)*(ISNUMBER(SEARCH("EDC", IM!AC2:AC811))))&gt;0), "EDC", "")</f>
        <v/>
      </c>
      <c r="N175" s="311" t="str" cm="1">
        <f t="array" ref="N175">IF(AND(SUMPRODUCT((IM!F2:F811=A175)*(ISNUMBER(SEARCH("STAR", IM!AC2:AC811))))&gt;0), "STAR", "")</f>
        <v/>
      </c>
      <c r="O175" s="302" t="str" cm="1">
        <f t="array" ref="O175">IFERROR(INDEX(IM!$X$2:$X$652, MATCH(1, (IM!$F$2:$F$652=A175) * (ISNUMBER(SEARCH($D$1, IM!$AC$2:$AC$652))), 0)), "")</f>
        <v/>
      </c>
      <c r="P175" s="196" t="str">
        <f t="shared" si="30"/>
        <v>-4154-林口麗園店(定保)</v>
      </c>
      <c r="Q175" s="144"/>
      <c r="R175" s="144"/>
      <c r="S175" s="144"/>
      <c r="T175" s="144"/>
      <c r="U175" s="305">
        <f t="shared" si="31"/>
        <v>2</v>
      </c>
      <c r="V175" s="289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4" t="s">
        <v>41</v>
      </c>
      <c r="B176" s="185" t="s">
        <v>734</v>
      </c>
      <c r="C176" s="186" t="str">
        <f>VLOOKUP($A176,'0919門市清單主檔'!B:V,20,FALSE)</f>
        <v>新北市</v>
      </c>
      <c r="D176" s="187" t="str">
        <f>VLOOKUP($A176,'0919門市清單主檔'!B:V,21,FALSE)</f>
        <v>林口區</v>
      </c>
      <c r="E176" s="188" t="str">
        <f>VLOOKUP(D176,區域表!A:B,2,FALSE)</f>
        <v>湯家瑋</v>
      </c>
      <c r="F176" s="189" t="str">
        <f>IFERROR(IF(VLOOKUP(A176,門市狀態!A:D,4,FALSE)=0,"",VLOOKUP(A176,門市狀態!A:D,4,FALSE)),"")</f>
        <v/>
      </c>
      <c r="G176" s="190" t="s">
        <v>1750</v>
      </c>
      <c r="H176" s="191" t="str">
        <f t="shared" si="29"/>
        <v>-L519-車麗屋林口店(定保)</v>
      </c>
      <c r="I176" s="195" t="s">
        <v>1749</v>
      </c>
      <c r="J176" s="193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5" t="str" cm="1">
        <f t="array" ref="L176">IF(K176&gt;0,IFERROR(HYPERLINK("#'IM'!AC"&amp;MATCH(1,(IM!$F$1:$F$7702=A176)*(ISNUMBER(SEARCH("PMQ2",IM!$AC$1:$AC$7702))),0),"檢核"),"未登錄"),"")</f>
        <v/>
      </c>
      <c r="M176" s="268" t="str" cm="1">
        <f t="array" ref="M176">IF(AND(SUMPRODUCT((IM!F2:F812=A176)*(ISNUMBER(SEARCH("EDC", IM!AC2:AC812))))&gt;0), "EDC", "")</f>
        <v/>
      </c>
      <c r="N176" s="311" t="str" cm="1">
        <f t="array" ref="N176">IF(AND(SUMPRODUCT((IM!F2:F812=A176)*(ISNUMBER(SEARCH("STAR", IM!AC2:AC812))))&gt;0), "STAR", "")</f>
        <v/>
      </c>
      <c r="O176" s="302" t="str" cm="1">
        <f t="array" ref="O176">IFERROR(INDEX(IM!$X$2:$X$652, MATCH(1, (IM!$F$2:$F$652=A176) * (ISNUMBER(SEARCH($D$1, IM!$AC$2:$AC$652))), 0)), "")</f>
        <v/>
      </c>
      <c r="P176" s="196" t="str">
        <f t="shared" si="30"/>
        <v>-L519-車麗屋林口店(定保)</v>
      </c>
      <c r="Q176" s="144"/>
      <c r="R176" s="144"/>
      <c r="S176" s="144"/>
      <c r="T176" s="144"/>
      <c r="U176" s="305">
        <f t="shared" si="31"/>
        <v>0</v>
      </c>
      <c r="V176" s="289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4" t="s">
        <v>1456</v>
      </c>
      <c r="B177" s="185" t="s">
        <v>1457</v>
      </c>
      <c r="C177" s="186" t="str">
        <f>VLOOKUP($A177,'0919門市清單主檔'!B:V,20,FALSE)</f>
        <v>新北市</v>
      </c>
      <c r="D177" s="187" t="str">
        <f>VLOOKUP($A177,'0919門市清單主檔'!B:V,21,FALSE)</f>
        <v>林口區</v>
      </c>
      <c r="E177" s="188" t="str">
        <f>VLOOKUP(D177,區域表!A:B,2,FALSE)</f>
        <v>湯家瑋</v>
      </c>
      <c r="F177" s="189" t="str">
        <f>IFERROR(IF(VLOOKUP(A177,門市狀態!A:D,4,FALSE)=0,"",VLOOKUP(A177,門市狀態!A:D,4,FALSE)),"")</f>
        <v/>
      </c>
      <c r="G177" s="190" t="s">
        <v>1750</v>
      </c>
      <c r="H177" s="191" t="str">
        <f t="shared" si="29"/>
        <v>-L551-林口顧家店(定保)</v>
      </c>
      <c r="I177" s="195" t="s">
        <v>1749</v>
      </c>
      <c r="J177" s="193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5" t="str" cm="1">
        <f t="array" ref="L177">IF(K177&gt;0,IFERROR(HYPERLINK("#'IM'!AC"&amp;MATCH(1,(IM!$F$1:$F$7702=A177)*(ISNUMBER(SEARCH("PMQ2",IM!$AC$1:$AC$7702))),0),"檢核"),"未登錄"),"")</f>
        <v/>
      </c>
      <c r="M177" s="268" t="str" cm="1">
        <f t="array" ref="M177">IF(AND(SUMPRODUCT((IM!F2:F813=A177)*(ISNUMBER(SEARCH("EDC", IM!AC2:AC813))))&gt;0), "EDC", "")</f>
        <v/>
      </c>
      <c r="N177" s="311" t="str" cm="1">
        <f t="array" ref="N177">IF(AND(SUMPRODUCT((IM!F2:F813=A177)*(ISNUMBER(SEARCH("STAR", IM!AC2:AC813))))&gt;0), "STAR", "")</f>
        <v/>
      </c>
      <c r="O177" s="302" t="str" cm="1">
        <f t="array" ref="O177">IFERROR(INDEX(IM!$X$2:$X$652, MATCH(1, (IM!$F$2:$F$652=A177) * (ISNUMBER(SEARCH($D$1, IM!$AC$2:$AC$652))), 0)), "")</f>
        <v/>
      </c>
      <c r="P177" s="196" t="str">
        <f t="shared" si="30"/>
        <v>-L551-林口顧家店(定保)</v>
      </c>
      <c r="Q177" s="144"/>
      <c r="R177" s="144"/>
      <c r="S177" s="144"/>
      <c r="T177" s="144"/>
      <c r="U177" s="305">
        <f t="shared" si="31"/>
        <v>0</v>
      </c>
      <c r="V177" s="289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4">
        <v>4483</v>
      </c>
      <c r="B178" s="185" t="s">
        <v>411</v>
      </c>
      <c r="C178" s="186" t="str">
        <f>VLOOKUP($A178,'0919門市清單主檔'!B:V,20,FALSE)</f>
        <v>新北市</v>
      </c>
      <c r="D178" s="187" t="str">
        <f>VLOOKUP($A178,'0919門市清單主檔'!B:V,21,FALSE)</f>
        <v>林口區</v>
      </c>
      <c r="E178" s="188" t="str">
        <f>VLOOKUP(D178,區域表!A:B,2,FALSE)</f>
        <v>湯家瑋</v>
      </c>
      <c r="F178" s="189" t="str">
        <f>IFERROR(IF(VLOOKUP(A178,門市狀態!A:D,4,FALSE)=0,"",VLOOKUP(A178,門市狀態!A:D,4,FALSE)),"")</f>
        <v/>
      </c>
      <c r="G178" s="190" t="s">
        <v>1749</v>
      </c>
      <c r="H178" s="191" t="str">
        <f t="shared" si="29"/>
        <v>-4483-林口築夢店(定保)</v>
      </c>
      <c r="I178" s="195" t="s">
        <v>1749</v>
      </c>
      <c r="J178" s="193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5" t="str" cm="1">
        <f t="array" ref="L178">IF(K178&gt;0,IFERROR(HYPERLINK("#'IM'!AC"&amp;MATCH(1,(IM!$F$1:$F$7702=A178)*(ISNUMBER(SEARCH("PMQ2",IM!$AC$1:$AC$7702))),0),"檢核"),"未登錄"),"")</f>
        <v/>
      </c>
      <c r="M178" s="268" t="str" cm="1">
        <f t="array" ref="M178">IF(AND(SUMPRODUCT((IM!F2:F815=A178)*(ISNUMBER(SEARCH("EDC", IM!AC2:AC815))))&gt;0), "EDC", "")</f>
        <v/>
      </c>
      <c r="N178" s="311" t="str" cm="1">
        <f t="array" ref="N178">IF(AND(SUMPRODUCT((IM!F2:F815=A178)*(ISNUMBER(SEARCH("STAR", IM!AC2:AC815))))&gt;0), "STAR", "")</f>
        <v/>
      </c>
      <c r="O178" s="302" t="str" cm="1">
        <f t="array" ref="O178">IFERROR(INDEX(IM!$X$2:$X$652, MATCH(1, (IM!$F$2:$F$652=A178) * (ISNUMBER(SEARCH($D$1, IM!$AC$2:$AC$652))), 0)), "")</f>
        <v/>
      </c>
      <c r="P178" s="196" t="str">
        <f t="shared" si="30"/>
        <v>-4483-林口築夢店(定保)</v>
      </c>
      <c r="Q178" s="144"/>
      <c r="R178" s="144"/>
      <c r="S178" s="144"/>
      <c r="T178" s="144"/>
      <c r="U178" s="305">
        <f t="shared" si="31"/>
        <v>1</v>
      </c>
      <c r="V178" s="289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4">
        <v>2746</v>
      </c>
      <c r="B179" s="185" t="s">
        <v>131</v>
      </c>
      <c r="C179" s="186" t="str">
        <f>VLOOKUP($A179,'0919門市清單主檔'!B:V,20,FALSE)</f>
        <v>新北市</v>
      </c>
      <c r="D179" s="187" t="str">
        <f>VLOOKUP($A179,'0919門市清單主檔'!B:V,21,FALSE)</f>
        <v>板橋區</v>
      </c>
      <c r="E179" s="188" t="str">
        <f>VLOOKUP(D179,區域表!A:B,2,FALSE)</f>
        <v>狄澤洋</v>
      </c>
      <c r="F179" s="189" t="str">
        <f>IFERROR(IF(VLOOKUP(A179,門市狀態!A:D,4,FALSE)=0,"",VLOOKUP(A179,門市狀態!A:D,4,FALSE)),"")</f>
        <v/>
      </c>
      <c r="G179" s="190" t="s">
        <v>1749</v>
      </c>
      <c r="H179" s="191" t="str">
        <f t="shared" si="29"/>
        <v>-2746-北縣板嘉店(定保)</v>
      </c>
      <c r="I179" s="195" t="s">
        <v>1749</v>
      </c>
      <c r="J179" s="193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5" t="str" cm="1">
        <f t="array" ref="L179">IF(K179&gt;0,IFERROR(HYPERLINK("#'IM'!AC"&amp;MATCH(1,(IM!$F$1:$F$7702=A179)*(ISNUMBER(SEARCH("PMQ2",IM!$AC$1:$AC$7702))),0),"檢核"),"未登錄"),"")</f>
        <v/>
      </c>
      <c r="M179" s="268" t="str" cm="1">
        <f t="array" ref="M179">IF(AND(SUMPRODUCT((IM!F2:F816=A179)*(ISNUMBER(SEARCH("EDC", IM!AC2:AC816))))&gt;0), "EDC", "")</f>
        <v/>
      </c>
      <c r="N179" s="311" t="str" cm="1">
        <f t="array" ref="N179">IF(AND(SUMPRODUCT((IM!F2:F816=A179)*(ISNUMBER(SEARCH("STAR", IM!AC2:AC816))))&gt;0), "STAR", "")</f>
        <v/>
      </c>
      <c r="O179" s="302" t="str" cm="1">
        <f t="array" ref="O179">IFERROR(INDEX(IM!$X$2:$X$652, MATCH(1, (IM!$F$2:$F$652=A179) * (ISNUMBER(SEARCH($D$1, IM!$AC$2:$AC$652))), 0)), "")</f>
        <v/>
      </c>
      <c r="P179" s="196" t="str">
        <f t="shared" si="30"/>
        <v>-2746-北縣板嘉店(定保)</v>
      </c>
      <c r="Q179" s="144"/>
      <c r="R179" s="144"/>
      <c r="S179" s="144"/>
      <c r="T179" s="144"/>
      <c r="U179" s="305">
        <f t="shared" si="31"/>
        <v>2</v>
      </c>
      <c r="V179" s="289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4">
        <v>3243</v>
      </c>
      <c r="B180" s="185" t="s">
        <v>174</v>
      </c>
      <c r="C180" s="186" t="str">
        <f>VLOOKUP($A180,'0919門市清單主檔'!B:V,20,FALSE)</f>
        <v>新北市</v>
      </c>
      <c r="D180" s="187" t="str">
        <f>VLOOKUP($A180,'0919門市清單主檔'!B:V,21,FALSE)</f>
        <v>林口區</v>
      </c>
      <c r="E180" s="188" t="str">
        <f>VLOOKUP(D180,區域表!A:B,2,FALSE)</f>
        <v>湯家瑋</v>
      </c>
      <c r="F180" s="189" t="str">
        <f>IFERROR(IF(VLOOKUP(A180,門市狀態!A:D,4,FALSE)=0,"",VLOOKUP(A180,門市狀態!A:D,4,FALSE)),"")</f>
        <v/>
      </c>
      <c r="G180" s="190" t="s">
        <v>4089</v>
      </c>
      <c r="H180" s="191" t="str">
        <f t="shared" si="29"/>
        <v>-3243-北縣醒吾店(定保)</v>
      </c>
      <c r="I180" s="195" t="s">
        <v>1749</v>
      </c>
      <c r="J180" s="193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5" t="str" cm="1">
        <f t="array" ref="L180">IF(K180&gt;0,IFERROR(HYPERLINK("#'IM'!AC"&amp;MATCH(1,(IM!$F$1:$F$7702=A180)*(ISNUMBER(SEARCH("PMQ2",IM!$AC$1:$AC$7702))),0),"檢核"),"未登錄"),"")</f>
        <v/>
      </c>
      <c r="M180" s="268" t="str" cm="1">
        <f t="array" ref="M180">IF(AND(SUMPRODUCT((IM!F2:F817=A180)*(ISNUMBER(SEARCH("EDC", IM!AC2:AC817))))&gt;0), "EDC", "")</f>
        <v/>
      </c>
      <c r="N180" s="311" t="str" cm="1">
        <f t="array" ref="N180">IF(AND(SUMPRODUCT((IM!F2:F817=A180)*(ISNUMBER(SEARCH("STAR", IM!AC2:AC817))))&gt;0), "STAR", "")</f>
        <v/>
      </c>
      <c r="O180" s="302" t="str" cm="1">
        <f t="array" ref="O180">IFERROR(INDEX(IM!$X$2:$X$652, MATCH(1, (IM!$F$2:$F$652=A180) * (ISNUMBER(SEARCH($D$1, IM!$AC$2:$AC$652))), 0)), "")</f>
        <v/>
      </c>
      <c r="P180" s="196" t="str">
        <f t="shared" si="30"/>
        <v>-3243-北縣醒吾店(定保)</v>
      </c>
      <c r="Q180" s="144"/>
      <c r="R180" s="144"/>
      <c r="S180" s="144"/>
      <c r="T180" s="144"/>
      <c r="U180" s="305">
        <f t="shared" si="31"/>
        <v>2</v>
      </c>
      <c r="V180" s="289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4">
        <v>3137</v>
      </c>
      <c r="B181" s="185" t="s">
        <v>165</v>
      </c>
      <c r="C181" s="186" t="str">
        <f>VLOOKUP($A181,'0919門市清單主檔'!B:V,20,FALSE)</f>
        <v>新北市</v>
      </c>
      <c r="D181" s="187" t="str">
        <f>VLOOKUP($A181,'0919門市清單主檔'!B:V,21,FALSE)</f>
        <v>泰山區</v>
      </c>
      <c r="E181" s="188" t="str">
        <f>VLOOKUP(D181,區域表!A:B,2,FALSE)</f>
        <v>湯家瑋</v>
      </c>
      <c r="F181" s="189" t="str">
        <f>IFERROR(IF(VLOOKUP(A181,門市狀態!A:D,4,FALSE)=0,"",VLOOKUP(A181,門市狀態!A:D,4,FALSE)),"")</f>
        <v/>
      </c>
      <c r="G181" s="190" t="s">
        <v>4089</v>
      </c>
      <c r="H181" s="191" t="str">
        <f t="shared" si="29"/>
        <v>-3137-北縣黎明店(定保)</v>
      </c>
      <c r="I181" s="195" t="s">
        <v>1749</v>
      </c>
      <c r="J181" s="193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5" t="str" cm="1">
        <f t="array" ref="L181">IF(K181&gt;0,IFERROR(HYPERLINK("#'IM'!AC"&amp;MATCH(1,(IM!$F$1:$F$7702=A181)*(ISNUMBER(SEARCH("PMQ2",IM!$AC$1:$AC$7702))),0),"檢核"),"未登錄"),"")</f>
        <v/>
      </c>
      <c r="M181" s="268" t="str" cm="1">
        <f t="array" ref="M181">IF(AND(SUMPRODUCT((IM!F2:F818=A181)*(ISNUMBER(SEARCH("EDC", IM!AC2:AC818))))&gt;0), "EDC", "")</f>
        <v/>
      </c>
      <c r="N181" s="311" t="str" cm="1">
        <f t="array" ref="N181">IF(AND(SUMPRODUCT((IM!F2:F818=A181)*(ISNUMBER(SEARCH("STAR", IM!AC2:AC818))))&gt;0), "STAR", "")</f>
        <v/>
      </c>
      <c r="O181" s="302" t="str" cm="1">
        <f t="array" ref="O181">IFERROR(INDEX(IM!$X$2:$X$652, MATCH(1, (IM!$F$2:$F$652=A181) * (ISNUMBER(SEARCH($D$1, IM!$AC$2:$AC$652))), 0)), "")</f>
        <v/>
      </c>
      <c r="P181" s="196" t="str">
        <f t="shared" si="30"/>
        <v>-3137-北縣黎明店(定保)</v>
      </c>
      <c r="Q181" s="144"/>
      <c r="R181" s="144"/>
      <c r="S181" s="144"/>
      <c r="T181" s="144"/>
      <c r="U181" s="305">
        <f t="shared" si="31"/>
        <v>0</v>
      </c>
      <c r="V181" s="289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4">
        <v>2897</v>
      </c>
      <c r="B182" s="185" t="s">
        <v>147</v>
      </c>
      <c r="C182" s="186" t="str">
        <f>VLOOKUP($A182,'0919門市清單主檔'!B:V,20,FALSE)</f>
        <v>新北市</v>
      </c>
      <c r="D182" s="187" t="str">
        <f>VLOOKUP($A182,'0919門市清單主檔'!B:V,21,FALSE)</f>
        <v>淡水區</v>
      </c>
      <c r="E182" s="188" t="str">
        <f>VLOOKUP(D182,區域表!A:B,2,FALSE)</f>
        <v>吳宗鴻</v>
      </c>
      <c r="F182" s="189" t="str">
        <f>IFERROR(IF(VLOOKUP(A182,門市狀態!A:D,4,FALSE)=0,"",VLOOKUP(A182,門市狀態!A:D,4,FALSE)),"")</f>
        <v/>
      </c>
      <c r="G182" s="190" t="s">
        <v>1749</v>
      </c>
      <c r="H182" s="191" t="str">
        <f t="shared" si="29"/>
        <v>-2897-淡水台電宿舍(定保)</v>
      </c>
      <c r="I182" s="195" t="s">
        <v>1749</v>
      </c>
      <c r="J182" s="193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5" t="str" cm="1">
        <f t="array" ref="L182">IF(K182&gt;0,IFERROR(HYPERLINK("#'IM'!AC"&amp;MATCH(1,(IM!$F$1:$F$7702=A182)*(ISNUMBER(SEARCH("PMQ2",IM!$AC$1:$AC$7702))),0),"檢核"),"未登錄"),"")</f>
        <v/>
      </c>
      <c r="M182" s="268" t="str" cm="1">
        <f t="array" ref="M182">IF(AND(SUMPRODUCT((IM!F2:F819=A182)*(ISNUMBER(SEARCH("EDC", IM!AC2:AC819))))&gt;0), "EDC", "")</f>
        <v/>
      </c>
      <c r="N182" s="311" t="str" cm="1">
        <f t="array" ref="N182">IF(AND(SUMPRODUCT((IM!F2:F819=A182)*(ISNUMBER(SEARCH("STAR", IM!AC2:AC819))))&gt;0), "STAR", "")</f>
        <v/>
      </c>
      <c r="O182" s="302" t="str" cm="1">
        <f t="array" ref="O182">IFERROR(INDEX(IM!$X$2:$X$652, MATCH(1, (IM!$F$2:$F$652=A182) * (ISNUMBER(SEARCH($D$1, IM!$AC$2:$AC$652))), 0)), "")</f>
        <v/>
      </c>
      <c r="P182" s="196" t="str">
        <f t="shared" si="30"/>
        <v>-2897-淡水台電宿舍(定保)</v>
      </c>
      <c r="Q182" s="144"/>
      <c r="R182" s="144"/>
      <c r="S182" s="144"/>
      <c r="T182" s="144"/>
      <c r="U182" s="305">
        <f t="shared" si="31"/>
        <v>2</v>
      </c>
      <c r="V182" s="289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4">
        <v>4153</v>
      </c>
      <c r="B183" s="185" t="s">
        <v>318</v>
      </c>
      <c r="C183" s="186" t="str">
        <f>VLOOKUP($A183,'0919門市清單主檔'!B:V,20,FALSE)</f>
        <v>新北市</v>
      </c>
      <c r="D183" s="187" t="str">
        <f>VLOOKUP($A183,'0919門市清單主檔'!B:V,21,FALSE)</f>
        <v>淡水區</v>
      </c>
      <c r="E183" s="188" t="str">
        <f>VLOOKUP(D183,區域表!A:B,2,FALSE)</f>
        <v>吳宗鴻</v>
      </c>
      <c r="F183" s="189" t="str">
        <f>IFERROR(IF(VLOOKUP(A183,門市狀態!A:D,4,FALSE)=0,"",VLOOKUP(A183,門市狀態!A:D,4,FALSE)),"")</f>
        <v/>
      </c>
      <c r="G183" s="190" t="s">
        <v>1749</v>
      </c>
      <c r="H183" s="191" t="str">
        <f t="shared" si="29"/>
        <v>-4153-淡水莊園店(定保)</v>
      </c>
      <c r="I183" s="195" t="s">
        <v>1749</v>
      </c>
      <c r="J183" s="193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5" t="str" cm="1">
        <f t="array" ref="L183">IF(K183&gt;0,IFERROR(HYPERLINK("#'IM'!AC"&amp;MATCH(1,(IM!$F$1:$F$7702=A183)*(ISNUMBER(SEARCH("PMQ2",IM!$AC$1:$AC$7702))),0),"檢核"),"未登錄"),"")</f>
        <v/>
      </c>
      <c r="M183" s="268" t="str" cm="1">
        <f t="array" ref="M183">IF(AND(SUMPRODUCT((IM!F2:F820=A183)*(ISNUMBER(SEARCH("EDC", IM!AC2:AC820))))&gt;0), "EDC", "")</f>
        <v/>
      </c>
      <c r="N183" s="311" t="str" cm="1">
        <f t="array" ref="N183">IF(AND(SUMPRODUCT((IM!F2:F820=A183)*(ISNUMBER(SEARCH("STAR", IM!AC2:AC820))))&gt;0), "STAR", "")</f>
        <v/>
      </c>
      <c r="O183" s="302" t="str" cm="1">
        <f t="array" ref="O183">IFERROR(INDEX(IM!$X$2:$X$652, MATCH(1, (IM!$F$2:$F$652=A183) * (ISNUMBER(SEARCH($D$1, IM!$AC$2:$AC$652))), 0)), "")</f>
        <v/>
      </c>
      <c r="P183" s="196" t="str">
        <f t="shared" si="30"/>
        <v>-4153-淡水莊園店(定保)</v>
      </c>
      <c r="Q183" s="144"/>
      <c r="R183" s="144"/>
      <c r="S183" s="144"/>
      <c r="T183" s="144"/>
      <c r="U183" s="305">
        <f t="shared" si="31"/>
        <v>2</v>
      </c>
      <c r="V183" s="289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4">
        <v>4093</v>
      </c>
      <c r="B184" s="185" t="s">
        <v>1479</v>
      </c>
      <c r="C184" s="186" t="str">
        <f>VLOOKUP($A184,'0919門市清單主檔'!B:V,20,FALSE)</f>
        <v>新北市</v>
      </c>
      <c r="D184" s="187" t="str">
        <f>VLOOKUP($A184,'0919門市清單主檔'!B:V,21,FALSE)</f>
        <v>淡水區</v>
      </c>
      <c r="E184" s="188" t="str">
        <f>VLOOKUP(D184,區域表!A:B,2,FALSE)</f>
        <v>吳宗鴻</v>
      </c>
      <c r="F184" s="189" t="str">
        <f>IFERROR(IF(VLOOKUP(A184,門市狀態!A:D,4,FALSE)=0,"",VLOOKUP(A184,門市狀態!A:D,4,FALSE)),"")</f>
        <v/>
      </c>
      <c r="G184" s="190" t="s">
        <v>1749</v>
      </c>
      <c r="H184" s="191" t="str">
        <f t="shared" si="29"/>
        <v>-4093-淡水新市一(定保)</v>
      </c>
      <c r="I184" s="195" t="s">
        <v>1749</v>
      </c>
      <c r="J184" s="193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5" t="str" cm="1">
        <f t="array" ref="L184">IF(K184&gt;0,IFERROR(HYPERLINK("#'IM'!AC"&amp;MATCH(1,(IM!$F$1:$F$7702=A184)*(ISNUMBER(SEARCH("PMQ2",IM!$AC$1:$AC$7702))),0),"檢核"),"未登錄"),"")</f>
        <v/>
      </c>
      <c r="M184" s="268" t="str" cm="1">
        <f t="array" ref="M184">IF(AND(SUMPRODUCT((IM!F2:F821=A184)*(ISNUMBER(SEARCH("EDC", IM!AC2:AC821))))&gt;0), "EDC", "")</f>
        <v/>
      </c>
      <c r="N184" s="311" t="str" cm="1">
        <f t="array" ref="N184">IF(AND(SUMPRODUCT((IM!F2:F821=A184)*(ISNUMBER(SEARCH("STAR", IM!AC2:AC821))))&gt;0), "STAR", "")</f>
        <v/>
      </c>
      <c r="O184" s="302" t="str" cm="1">
        <f t="array" ref="O184">IFERROR(INDEX(IM!$X$2:$X$652, MATCH(1, (IM!$F$2:$F$652=A184) * (ISNUMBER(SEARCH($D$1, IM!$AC$2:$AC$652))), 0)), "")</f>
        <v/>
      </c>
      <c r="P184" s="196" t="str">
        <f t="shared" si="30"/>
        <v>-4093-淡水新市一(定保)</v>
      </c>
      <c r="Q184" s="144"/>
      <c r="R184" s="144"/>
      <c r="S184" s="144"/>
      <c r="T184" s="144"/>
      <c r="U184" s="305">
        <f t="shared" si="31"/>
        <v>1</v>
      </c>
      <c r="V184" s="289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4">
        <v>4788</v>
      </c>
      <c r="B185" s="185" t="s">
        <v>526</v>
      </c>
      <c r="C185" s="186" t="str">
        <f>VLOOKUP($A185,'0919門市清單主檔'!B:V,20,FALSE)</f>
        <v>新北市</v>
      </c>
      <c r="D185" s="187" t="str">
        <f>VLOOKUP($A185,'0919門市清單主檔'!B:V,21,FALSE)</f>
        <v>淡水區</v>
      </c>
      <c r="E185" s="188" t="str">
        <f>VLOOKUP(D185,區域表!A:B,2,FALSE)</f>
        <v>吳宗鴻</v>
      </c>
      <c r="F185" s="189" t="str">
        <f>IFERROR(IF(VLOOKUP(A185,門市狀態!A:D,4,FALSE)=0,"",VLOOKUP(A185,門市狀態!A:D,4,FALSE)),"")</f>
        <v/>
      </c>
      <c r="G185" s="190" t="s">
        <v>1749</v>
      </c>
      <c r="H185" s="191" t="str">
        <f t="shared" si="29"/>
        <v>-4788-淡水國家店(定保)</v>
      </c>
      <c r="I185" s="195" t="s">
        <v>1749</v>
      </c>
      <c r="J185" s="193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5" t="str" cm="1">
        <f t="array" ref="L185">IF(K185&gt;0,IFERROR(HYPERLINK("#'IM'!AC"&amp;MATCH(1,(IM!$F$1:$F$7702=A185)*(ISNUMBER(SEARCH("PMQ2",IM!$AC$1:$AC$7702))),0),"檢核"),"未登錄"),"")</f>
        <v/>
      </c>
      <c r="M185" s="268" t="str" cm="1">
        <f t="array" ref="M185">IF(AND(SUMPRODUCT((IM!F2:F822=A185)*(ISNUMBER(SEARCH("EDC", IM!AC2:AC822))))&gt;0), "EDC", "")</f>
        <v/>
      </c>
      <c r="N185" s="311" t="str" cm="1">
        <f t="array" ref="N185">IF(AND(SUMPRODUCT((IM!F2:F822=A185)*(ISNUMBER(SEARCH("STAR", IM!AC2:AC822))))&gt;0), "STAR", "")</f>
        <v/>
      </c>
      <c r="O185" s="302" t="str" cm="1">
        <f t="array" ref="O185">IFERROR(INDEX(IM!$X$2:$X$652, MATCH(1, (IM!$F$2:$F$652=A185) * (ISNUMBER(SEARCH($D$1, IM!$AC$2:$AC$652))), 0)), "")</f>
        <v/>
      </c>
      <c r="P185" s="196" t="str">
        <f t="shared" si="30"/>
        <v>-4788-淡水國家店(定保)</v>
      </c>
      <c r="Q185" s="144"/>
      <c r="R185" s="144"/>
      <c r="S185" s="144"/>
      <c r="T185" s="144"/>
      <c r="U185" s="305">
        <f t="shared" si="31"/>
        <v>2</v>
      </c>
      <c r="V185" s="289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4">
        <v>4298</v>
      </c>
      <c r="B186" s="185" t="s">
        <v>360</v>
      </c>
      <c r="C186" s="186" t="str">
        <f>VLOOKUP($A186,'0919門市清單主檔'!B:V,20,FALSE)</f>
        <v>新北市</v>
      </c>
      <c r="D186" s="187" t="str">
        <f>VLOOKUP($A186,'0919門市清單主檔'!B:V,21,FALSE)</f>
        <v>淡水區</v>
      </c>
      <c r="E186" s="188" t="str">
        <f>VLOOKUP(D186,區域表!A:B,2,FALSE)</f>
        <v>吳宗鴻</v>
      </c>
      <c r="F186" s="189" t="str">
        <f>IFERROR(IF(VLOOKUP(A186,門市狀態!A:D,4,FALSE)=0,"",VLOOKUP(A186,門市狀態!A:D,4,FALSE)),"")</f>
        <v/>
      </c>
      <c r="G186" s="190" t="s">
        <v>1749</v>
      </c>
      <c r="H186" s="191" t="str">
        <f t="shared" si="29"/>
        <v>-4298-淡水後洲店(定保)</v>
      </c>
      <c r="I186" s="195" t="s">
        <v>1749</v>
      </c>
      <c r="J186" s="193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5" t="str" cm="1">
        <f t="array" ref="L186">IF(K186&gt;0,IFERROR(HYPERLINK("#'IM'!AC"&amp;MATCH(1,(IM!$F$1:$F$7702=A186)*(ISNUMBER(SEARCH("PMQ2",IM!$AC$1:$AC$7702))),0),"檢核"),"未登錄"),"")</f>
        <v/>
      </c>
      <c r="M186" s="268" t="str" cm="1">
        <f t="array" ref="M186">IF(AND(SUMPRODUCT((IM!F2:F823=A186)*(ISNUMBER(SEARCH("EDC", IM!AC2:AC823))))&gt;0), "EDC", "")</f>
        <v/>
      </c>
      <c r="N186" s="311" t="str" cm="1">
        <f t="array" ref="N186">IF(AND(SUMPRODUCT((IM!F2:F823=A186)*(ISNUMBER(SEARCH("STAR", IM!AC2:AC823))))&gt;0), "STAR", "")</f>
        <v/>
      </c>
      <c r="O186" s="302" t="str" cm="1">
        <f t="array" ref="O186">IFERROR(INDEX(IM!$X$2:$X$652, MATCH(1, (IM!$F$2:$F$652=A186) * (ISNUMBER(SEARCH($D$1, IM!$AC$2:$AC$652))), 0)), "")</f>
        <v/>
      </c>
      <c r="P186" s="196" t="str">
        <f t="shared" si="30"/>
        <v>-4298-淡水後洲店(定保)</v>
      </c>
      <c r="Q186" s="144"/>
      <c r="R186" s="144"/>
      <c r="S186" s="144"/>
      <c r="T186" s="144"/>
      <c r="U186" s="305">
        <f t="shared" si="31"/>
        <v>2</v>
      </c>
      <c r="V186" s="289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4">
        <v>4541</v>
      </c>
      <c r="B187" s="185" t="s">
        <v>436</v>
      </c>
      <c r="C187" s="186" t="str">
        <f>VLOOKUP($A187,'0919門市清單主檔'!B:V,20,FALSE)</f>
        <v>新北市</v>
      </c>
      <c r="D187" s="187" t="str">
        <f>VLOOKUP($A187,'0919門市清單主檔'!B:V,21,FALSE)</f>
        <v>淡水區</v>
      </c>
      <c r="E187" s="188" t="str">
        <f>VLOOKUP(D187,區域表!A:B,2,FALSE)</f>
        <v>吳宗鴻</v>
      </c>
      <c r="F187" s="189" t="str">
        <f>IFERROR(IF(VLOOKUP(A187,門市狀態!A:D,4,FALSE)=0,"",VLOOKUP(A187,門市狀態!A:D,4,FALSE)),"")</f>
        <v/>
      </c>
      <c r="G187" s="190" t="s">
        <v>1749</v>
      </c>
      <c r="H187" s="191" t="str">
        <f t="shared" si="29"/>
        <v>-4541-淡水海天店(定保)</v>
      </c>
      <c r="I187" s="195" t="s">
        <v>1749</v>
      </c>
      <c r="J187" s="193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5" t="str" cm="1">
        <f t="array" ref="L187">IF(K187&gt;0,IFERROR(HYPERLINK("#'IM'!AC"&amp;MATCH(1,(IM!$F$1:$F$7702=A187)*(ISNUMBER(SEARCH("PMQ2",IM!$AC$1:$AC$7702))),0),"檢核"),"未登錄"),"")</f>
        <v/>
      </c>
      <c r="M187" s="268" t="str" cm="1">
        <f t="array" ref="M187">IF(AND(SUMPRODUCT((IM!F2:F824=A187)*(ISNUMBER(SEARCH("EDC", IM!AC2:AC824))))&gt;0), "EDC", "")</f>
        <v/>
      </c>
      <c r="N187" s="311" t="str" cm="1">
        <f t="array" ref="N187">IF(AND(SUMPRODUCT((IM!F2:F824=A187)*(ISNUMBER(SEARCH("STAR", IM!AC2:AC824))))&gt;0), "STAR", "")</f>
        <v/>
      </c>
      <c r="O187" s="302" t="str" cm="1">
        <f t="array" ref="O187">IFERROR(INDEX(IM!$X$2:$X$652, MATCH(1, (IM!$F$2:$F$652=A187) * (ISNUMBER(SEARCH($D$1, IM!$AC$2:$AC$652))), 0)), "")</f>
        <v/>
      </c>
      <c r="P187" s="196" t="str">
        <f t="shared" si="30"/>
        <v>-4541-淡水海天店(定保)</v>
      </c>
      <c r="Q187" s="144"/>
      <c r="R187" s="144"/>
      <c r="S187" s="144"/>
      <c r="T187" s="144"/>
      <c r="U187" s="305">
        <f t="shared" si="31"/>
        <v>0</v>
      </c>
      <c r="V187" s="289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4">
        <v>4802</v>
      </c>
      <c r="B188" s="185" t="s">
        <v>529</v>
      </c>
      <c r="C188" s="186" t="str">
        <f>VLOOKUP($A188,'0919門市清單主檔'!B:V,20,FALSE)</f>
        <v>新北市</v>
      </c>
      <c r="D188" s="187" t="str">
        <f>VLOOKUP($A188,'0919門市清單主檔'!B:V,21,FALSE)</f>
        <v>淡水區</v>
      </c>
      <c r="E188" s="188" t="str">
        <f>VLOOKUP(D188,區域表!A:B,2,FALSE)</f>
        <v>吳宗鴻</v>
      </c>
      <c r="F188" s="189" t="str">
        <f>IFERROR(IF(VLOOKUP(A188,門市狀態!A:D,4,FALSE)=0,"",VLOOKUP(A188,門市狀態!A:D,4,FALSE)),"")</f>
        <v/>
      </c>
      <c r="G188" s="190" t="s">
        <v>1749</v>
      </c>
      <c r="H188" s="191" t="str">
        <f t="shared" si="29"/>
        <v>-4802-淡水沙崙店(定保)</v>
      </c>
      <c r="I188" s="195" t="s">
        <v>1749</v>
      </c>
      <c r="J188" s="193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5" t="str" cm="1">
        <f t="array" ref="L188">IF(K188&gt;0,IFERROR(HYPERLINK("#'IM'!AC"&amp;MATCH(1,(IM!$F$1:$F$7702=A188)*(ISNUMBER(SEARCH("PMQ2",IM!$AC$1:$AC$7702))),0),"檢核"),"未登錄"),"")</f>
        <v/>
      </c>
      <c r="M188" s="268" t="str" cm="1">
        <f t="array" ref="M188">IF(AND(SUMPRODUCT((IM!F2:F825=A188)*(ISNUMBER(SEARCH("EDC", IM!AC2:AC825))))&gt;0), "EDC", "")</f>
        <v/>
      </c>
      <c r="N188" s="311" t="str" cm="1">
        <f t="array" ref="N188">IF(AND(SUMPRODUCT((IM!F2:F825=A188)*(ISNUMBER(SEARCH("STAR", IM!AC2:AC825))))&gt;0), "STAR", "")</f>
        <v/>
      </c>
      <c r="O188" s="302" t="str" cm="1">
        <f t="array" ref="O188">IFERROR(INDEX(IM!$X$2:$X$652, MATCH(1, (IM!$F$2:$F$652=A188) * (ISNUMBER(SEARCH($D$1, IM!$AC$2:$AC$652))), 0)), "")</f>
        <v/>
      </c>
      <c r="P188" s="196" t="str">
        <f t="shared" si="30"/>
        <v>-4802-淡水沙崙店(定保)</v>
      </c>
      <c r="Q188" s="144"/>
      <c r="R188" s="144"/>
      <c r="S188" s="144"/>
      <c r="T188" s="144"/>
      <c r="U188" s="305">
        <f t="shared" si="31"/>
        <v>0</v>
      </c>
      <c r="V188" s="289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4">
        <v>3652</v>
      </c>
      <c r="B189" s="185" t="s">
        <v>219</v>
      </c>
      <c r="C189" s="186" t="str">
        <f>VLOOKUP($A189,'0919門市清單主檔'!B:V,20,FALSE)</f>
        <v>新北市</v>
      </c>
      <c r="D189" s="187" t="str">
        <f>VLOOKUP($A189,'0919門市清單主檔'!B:V,21,FALSE)</f>
        <v>新莊區</v>
      </c>
      <c r="E189" s="188" t="str">
        <f>VLOOKUP(D189,區域表!A:B,2,FALSE)</f>
        <v>湯家瑋</v>
      </c>
      <c r="F189" s="189" t="str">
        <f>IFERROR(IF(VLOOKUP(A189,門市狀態!A:D,4,FALSE)=0,"",VLOOKUP(A189,門市狀態!A:D,4,FALSE)),"")</f>
        <v/>
      </c>
      <c r="G189" s="190" t="s">
        <v>1749</v>
      </c>
      <c r="H189" s="191" t="str">
        <f t="shared" si="29"/>
        <v>-3652-北縣莊民店(定保)</v>
      </c>
      <c r="I189" s="195" t="s">
        <v>1749</v>
      </c>
      <c r="J189" s="193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5" t="str" cm="1">
        <f t="array" ref="L189">IF(K189&gt;0,IFERROR(HYPERLINK("#'IM'!AC"&amp;MATCH(1,(IM!$F$1:$F$7702=A189)*(ISNUMBER(SEARCH("PMQ2",IM!$AC$1:$AC$7702))),0),"檢核"),"未登錄"),"")</f>
        <v/>
      </c>
      <c r="M189" s="268" t="str" cm="1">
        <f t="array" ref="M189">IF(AND(SUMPRODUCT((IM!F2:F826=A189)*(ISNUMBER(SEARCH("EDC", IM!AC2:AC826))))&gt;0), "EDC", "")</f>
        <v/>
      </c>
      <c r="N189" s="311" t="str" cm="1">
        <f t="array" ref="N189">IF(AND(SUMPRODUCT((IM!F2:F826=A189)*(ISNUMBER(SEARCH("STAR", IM!AC2:AC826))))&gt;0), "STAR", "")</f>
        <v/>
      </c>
      <c r="O189" s="302" t="str" cm="1">
        <f t="array" ref="O189">IFERROR(INDEX(IM!$X$2:$X$652, MATCH(1, (IM!$F$2:$F$652=A189) * (ISNUMBER(SEARCH($D$1, IM!$AC$2:$AC$652))), 0)), "")</f>
        <v/>
      </c>
      <c r="P189" s="196" t="str">
        <f t="shared" si="30"/>
        <v>-3652-北縣莊民店(定保)</v>
      </c>
      <c r="Q189" s="144"/>
      <c r="R189" s="144"/>
      <c r="S189" s="144"/>
      <c r="T189" s="144"/>
      <c r="U189" s="305">
        <f t="shared" si="31"/>
        <v>2</v>
      </c>
      <c r="V189" s="289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4">
        <v>5060</v>
      </c>
      <c r="B190" s="185" t="s">
        <v>584</v>
      </c>
      <c r="C190" s="186" t="str">
        <f>VLOOKUP($A190,'0919門市清單主檔'!B:V,20,FALSE)</f>
        <v>新北市</v>
      </c>
      <c r="D190" s="187" t="str">
        <f>VLOOKUP($A190,'0919門市清單主檔'!B:V,21,FALSE)</f>
        <v>淡水區</v>
      </c>
      <c r="E190" s="188" t="str">
        <f>VLOOKUP(D190,區域表!A:B,2,FALSE)</f>
        <v>吳宗鴻</v>
      </c>
      <c r="F190" s="189" t="str">
        <f>IFERROR(IF(VLOOKUP(A190,門市狀態!A:D,4,FALSE)=0,"",VLOOKUP(A190,門市狀態!A:D,4,FALSE)),"")</f>
        <v/>
      </c>
      <c r="G190" s="190" t="s">
        <v>1749</v>
      </c>
      <c r="H190" s="191" t="str">
        <f t="shared" si="29"/>
        <v>-5060-淡水魚市店(定保)</v>
      </c>
      <c r="I190" s="195" t="s">
        <v>1749</v>
      </c>
      <c r="J190" s="193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5" t="str" cm="1">
        <f t="array" ref="L190">IF(K190&gt;0,IFERROR(HYPERLINK("#'IM'!AC"&amp;MATCH(1,(IM!$F$1:$F$7702=A190)*(ISNUMBER(SEARCH("PMQ2",IM!$AC$1:$AC$7702))),0),"檢核"),"未登錄"),"")</f>
        <v/>
      </c>
      <c r="M190" s="268" t="str" cm="1">
        <f t="array" ref="M190">IF(AND(SUMPRODUCT((IM!F2:F827=A190)*(ISNUMBER(SEARCH("EDC", IM!AC2:AC827))))&gt;0), "EDC", "")</f>
        <v/>
      </c>
      <c r="N190" s="311" t="str" cm="1">
        <f t="array" ref="N190">IF(AND(SUMPRODUCT((IM!F2:F827=A190)*(ISNUMBER(SEARCH("STAR", IM!AC2:AC827))))&gt;0), "STAR", "")</f>
        <v/>
      </c>
      <c r="O190" s="302" t="str" cm="1">
        <f t="array" ref="O190">IFERROR(INDEX(IM!$X$2:$X$652, MATCH(1, (IM!$F$2:$F$652=A190) * (ISNUMBER(SEARCH($D$1, IM!$AC$2:$AC$652))), 0)), "")</f>
        <v/>
      </c>
      <c r="P190" s="196" t="str">
        <f t="shared" si="30"/>
        <v>-5060-淡水魚市店(定保)</v>
      </c>
      <c r="Q190" s="144"/>
      <c r="R190" s="144"/>
      <c r="S190" s="144"/>
      <c r="T190" s="144"/>
      <c r="U190" s="305">
        <f t="shared" si="31"/>
        <v>0</v>
      </c>
      <c r="V190" s="289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4">
        <v>5057</v>
      </c>
      <c r="B191" s="185" t="s">
        <v>583</v>
      </c>
      <c r="C191" s="186" t="str">
        <f>VLOOKUP($A191,'0919門市清單主檔'!B:V,20,FALSE)</f>
        <v>新北市</v>
      </c>
      <c r="D191" s="187" t="str">
        <f>VLOOKUP($A191,'0919門市清單主檔'!B:V,21,FALSE)</f>
        <v>新莊區</v>
      </c>
      <c r="E191" s="188" t="str">
        <f>VLOOKUP(D191,區域表!A:B,2,FALSE)</f>
        <v>湯家瑋</v>
      </c>
      <c r="F191" s="189" t="str">
        <f>IFERROR(IF(VLOOKUP(A191,門市狀態!A:D,4,FALSE)=0,"",VLOOKUP(A191,門市狀態!A:D,4,FALSE)),"")</f>
        <v/>
      </c>
      <c r="G191" s="190" t="s">
        <v>1749</v>
      </c>
      <c r="H191" s="191" t="str">
        <f t="shared" si="29"/>
        <v>-5057-新莊中港店(定保)</v>
      </c>
      <c r="I191" s="195" t="s">
        <v>1749</v>
      </c>
      <c r="J191" s="193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5" t="str" cm="1">
        <f t="array" ref="L191">IF(K191&gt;0,IFERROR(HYPERLINK("#'IM'!AC"&amp;MATCH(1,(IM!$F$1:$F$7702=A191)*(ISNUMBER(SEARCH("PMQ2",IM!$AC$1:$AC$7702))),0),"檢核"),"未登錄"),"")</f>
        <v/>
      </c>
      <c r="M191" s="268" t="str" cm="1">
        <f t="array" ref="M191">IF(AND(SUMPRODUCT((IM!F2:F828=A191)*(ISNUMBER(SEARCH("EDC", IM!AC2:AC828))))&gt;0), "EDC", "")</f>
        <v/>
      </c>
      <c r="N191" s="311" t="str" cm="1">
        <f t="array" ref="N191">IF(AND(SUMPRODUCT((IM!F2:F828=A191)*(ISNUMBER(SEARCH("STAR", IM!AC2:AC828))))&gt;0), "STAR", "")</f>
        <v/>
      </c>
      <c r="O191" s="302" t="str" cm="1">
        <f t="array" ref="O191">IFERROR(INDEX(IM!$X$2:$X$652, MATCH(1, (IM!$F$2:$F$652=A191) * (ISNUMBER(SEARCH($D$1, IM!$AC$2:$AC$652))), 0)), "")</f>
        <v/>
      </c>
      <c r="P191" s="196" t="str">
        <f t="shared" si="30"/>
        <v>-5057-新莊中港店(定保)</v>
      </c>
      <c r="Q191" s="144"/>
      <c r="R191" s="144"/>
      <c r="S191" s="144"/>
      <c r="T191" s="144"/>
      <c r="U191" s="305">
        <f t="shared" si="31"/>
        <v>2</v>
      </c>
      <c r="V191" s="289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4">
        <v>3851</v>
      </c>
      <c r="B192" s="185" t="s">
        <v>248</v>
      </c>
      <c r="C192" s="186" t="str">
        <f>VLOOKUP($A192,'0919門市清單主檔'!B:V,20,FALSE)</f>
        <v>新北市</v>
      </c>
      <c r="D192" s="187" t="str">
        <f>VLOOKUP($A192,'0919門市清單主檔'!B:V,21,FALSE)</f>
        <v>新莊區</v>
      </c>
      <c r="E192" s="188" t="str">
        <f>VLOOKUP(D192,區域表!A:B,2,FALSE)</f>
        <v>湯家瑋</v>
      </c>
      <c r="F192" s="189" t="str">
        <f>IFERROR(IF(VLOOKUP(A192,門市狀態!A:D,4,FALSE)=0,"",VLOOKUP(A192,門市狀態!A:D,4,FALSE)),"")</f>
        <v/>
      </c>
      <c r="G192" s="190" t="s">
        <v>4089</v>
      </c>
      <c r="H192" s="191" t="str">
        <f t="shared" si="29"/>
        <v>-3851-北縣輔園店(定保)</v>
      </c>
      <c r="I192" s="195" t="s">
        <v>1749</v>
      </c>
      <c r="J192" s="193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5" t="str" cm="1">
        <f t="array" ref="L192">IF(K192&gt;0,IFERROR(HYPERLINK("#'IM'!AC"&amp;MATCH(1,(IM!$F$1:$F$7702=A192)*(ISNUMBER(SEARCH("PMQ2",IM!$AC$1:$AC$7702))),0),"檢核"),"未登錄"),"")</f>
        <v/>
      </c>
      <c r="M192" s="268" t="str" cm="1">
        <f t="array" ref="M192">IF(AND(SUMPRODUCT((IM!F2:F829=A192)*(ISNUMBER(SEARCH("EDC", IM!AC2:AC829))))&gt;0), "EDC", "")</f>
        <v/>
      </c>
      <c r="N192" s="311" t="str" cm="1">
        <f t="array" ref="N192">IF(AND(SUMPRODUCT((IM!F2:F829=A192)*(ISNUMBER(SEARCH("STAR", IM!AC2:AC829))))&gt;0), "STAR", "")</f>
        <v/>
      </c>
      <c r="O192" s="302" t="str" cm="1">
        <f t="array" ref="O192">IFERROR(INDEX(IM!$X$2:$X$652, MATCH(1, (IM!$F$2:$F$652=A192) * (ISNUMBER(SEARCH($D$1, IM!$AC$2:$AC$652))), 0)), "")</f>
        <v/>
      </c>
      <c r="P192" s="196" t="str">
        <f t="shared" si="30"/>
        <v>-3851-北縣輔園店(定保)</v>
      </c>
      <c r="Q192" s="144"/>
      <c r="R192" s="144"/>
      <c r="S192" s="144"/>
      <c r="T192" s="144"/>
      <c r="U192" s="305">
        <f t="shared" si="31"/>
        <v>2</v>
      </c>
      <c r="V192" s="289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4">
        <v>2995</v>
      </c>
      <c r="B193" s="185" t="s">
        <v>156</v>
      </c>
      <c r="C193" s="186" t="str">
        <f>VLOOKUP($A193,'0919門市清單主檔'!B:V,20,FALSE)</f>
        <v>新北市</v>
      </c>
      <c r="D193" s="187" t="str">
        <f>VLOOKUP($A193,'0919門市清單主檔'!B:V,21,FALSE)</f>
        <v>板橋區</v>
      </c>
      <c r="E193" s="188" t="str">
        <f>VLOOKUP(D193,區域表!A:B,2,FALSE)</f>
        <v>狄澤洋</v>
      </c>
      <c r="F193" s="189" t="str">
        <f>IFERROR(IF(VLOOKUP(A193,門市狀態!A:D,4,FALSE)=0,"",VLOOKUP(A193,門市狀態!A:D,4,FALSE)),"")</f>
        <v/>
      </c>
      <c r="G193" s="190" t="s">
        <v>1749</v>
      </c>
      <c r="H193" s="191" t="str">
        <f t="shared" si="29"/>
        <v>-2995-板橋湳雅夜市(定保)</v>
      </c>
      <c r="I193" s="195" t="s">
        <v>1749</v>
      </c>
      <c r="J193" s="193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5" t="str" cm="1">
        <f t="array" ref="L193">IF(K193&gt;0,IFERROR(HYPERLINK("#'IM'!AC"&amp;MATCH(1,(IM!$F$1:$F$7702=A193)*(ISNUMBER(SEARCH("PMQ2",IM!$AC$1:$AC$7702))),0),"檢核"),"未登錄"),"")</f>
        <v/>
      </c>
      <c r="M193" s="268" t="str" cm="1">
        <f t="array" ref="M193">IF(AND(SUMPRODUCT((IM!F2:F830=A193)*(ISNUMBER(SEARCH("EDC", IM!AC2:AC830))))&gt;0), "EDC", "")</f>
        <v/>
      </c>
      <c r="N193" s="311" t="str" cm="1">
        <f t="array" ref="N193">IF(AND(SUMPRODUCT((IM!F2:F830=A193)*(ISNUMBER(SEARCH("STAR", IM!AC2:AC830))))&gt;0), "STAR", "")</f>
        <v/>
      </c>
      <c r="O193" s="302" t="str" cm="1">
        <f t="array" ref="O193">IFERROR(INDEX(IM!$X$2:$X$652, MATCH(1, (IM!$F$2:$F$652=A193) * (ISNUMBER(SEARCH($D$1, IM!$AC$2:$AC$652))), 0)), "")</f>
        <v/>
      </c>
      <c r="P193" s="196" t="str">
        <f t="shared" si="30"/>
        <v>-2995-板橋湳雅夜市(定保)</v>
      </c>
      <c r="Q193" s="144"/>
      <c r="R193" s="144"/>
      <c r="S193" s="144"/>
      <c r="T193" s="144"/>
      <c r="U193" s="305">
        <f t="shared" si="31"/>
        <v>2</v>
      </c>
      <c r="V193" s="289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4">
        <v>2224</v>
      </c>
      <c r="B194" s="185" t="s">
        <v>77</v>
      </c>
      <c r="C194" s="186" t="str">
        <f>VLOOKUP($A194,'0919門市清單主檔'!B:V,20,FALSE)</f>
        <v>新北市</v>
      </c>
      <c r="D194" s="187" t="str">
        <f>VLOOKUP($A194,'0919門市清單主檔'!B:V,21,FALSE)</f>
        <v>板橋區</v>
      </c>
      <c r="E194" s="188" t="str">
        <f>VLOOKUP(D194,區域表!A:B,2,FALSE)</f>
        <v>狄澤洋</v>
      </c>
      <c r="F194" s="189" t="str">
        <f>IFERROR(IF(VLOOKUP(A194,門市狀態!A:D,4,FALSE)=0,"",VLOOKUP(A194,門市狀態!A:D,4,FALSE)),"")</f>
        <v/>
      </c>
      <c r="G194" s="190" t="s">
        <v>1749</v>
      </c>
      <c r="H194" s="191" t="str">
        <f t="shared" si="29"/>
        <v>-2224-板橋莒光店(定保)</v>
      </c>
      <c r="I194" s="195" t="s">
        <v>1749</v>
      </c>
      <c r="J194" s="193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5" t="str" cm="1">
        <f t="array" ref="L194">IF(K194&gt;0,IFERROR(HYPERLINK("#'IM'!AC"&amp;MATCH(1,(IM!$F$1:$F$7702=A194)*(ISNUMBER(SEARCH("PMQ2",IM!$AC$1:$AC$7702))),0),"檢核"),"未登錄"),"")</f>
        <v/>
      </c>
      <c r="M194" s="268" t="str" cm="1">
        <f t="array" ref="M194">IF(AND(SUMPRODUCT((IM!F2:F831=A194)*(ISNUMBER(SEARCH("EDC", IM!AC2:AC831))))&gt;0), "EDC", "")</f>
        <v/>
      </c>
      <c r="N194" s="311" t="str" cm="1">
        <f t="array" ref="N194">IF(AND(SUMPRODUCT((IM!F2:F831=A194)*(ISNUMBER(SEARCH("STAR", IM!AC2:AC831))))&gt;0), "STAR", "")</f>
        <v/>
      </c>
      <c r="O194" s="302" t="str" cm="1">
        <f t="array" ref="O194">IFERROR(INDEX(IM!$X$2:$X$652, MATCH(1, (IM!$F$2:$F$652=A194) * (ISNUMBER(SEARCH($D$1, IM!$AC$2:$AC$652))), 0)), "")</f>
        <v/>
      </c>
      <c r="P194" s="196" t="str">
        <f t="shared" si="30"/>
        <v>-2224-板橋莒光店(定保)</v>
      </c>
      <c r="Q194" s="144"/>
      <c r="R194" s="144"/>
      <c r="S194" s="144"/>
      <c r="T194" s="144"/>
      <c r="U194" s="305">
        <f t="shared" si="31"/>
        <v>2</v>
      </c>
      <c r="V194" s="289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4">
        <v>4046</v>
      </c>
      <c r="B195" s="185" t="s">
        <v>299</v>
      </c>
      <c r="C195" s="186" t="str">
        <f>VLOOKUP($A195,'0919門市清單主檔'!B:V,20,FALSE)</f>
        <v>新北市</v>
      </c>
      <c r="D195" s="187" t="str">
        <f>VLOOKUP($A195,'0919門市清單主檔'!B:V,21,FALSE)</f>
        <v>板橋區</v>
      </c>
      <c r="E195" s="188" t="str">
        <f>VLOOKUP(D195,區域表!A:B,2,FALSE)</f>
        <v>狄澤洋</v>
      </c>
      <c r="F195" s="189" t="str">
        <f>IFERROR(IF(VLOOKUP(A195,門市狀態!A:D,4,FALSE)=0,"",VLOOKUP(A195,門市狀態!A:D,4,FALSE)),"")</f>
        <v/>
      </c>
      <c r="G195" s="190" t="s">
        <v>1749</v>
      </c>
      <c r="H195" s="191" t="str">
        <f t="shared" si="29"/>
        <v>-4046-板橋福康店(定保)</v>
      </c>
      <c r="I195" s="195" t="s">
        <v>1749</v>
      </c>
      <c r="J195" s="193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5" t="str" cm="1">
        <f t="array" ref="L195">IF(K195&gt;0,IFERROR(HYPERLINK("#'IM'!AC"&amp;MATCH(1,(IM!$F$1:$F$7702=A195)*(ISNUMBER(SEARCH("PMQ2",IM!$AC$1:$AC$7702))),0),"檢核"),"未登錄"),"")</f>
        <v/>
      </c>
      <c r="M195" s="268" t="str" cm="1">
        <f t="array" ref="M195">IF(AND(SUMPRODUCT((IM!F2:F832=A195)*(ISNUMBER(SEARCH("EDC", IM!AC2:AC832))))&gt;0), "EDC", "")</f>
        <v/>
      </c>
      <c r="N195" s="311" t="str" cm="1">
        <f t="array" ref="N195">IF(AND(SUMPRODUCT((IM!F2:F832=A195)*(ISNUMBER(SEARCH("STAR", IM!AC2:AC832))))&gt;0), "STAR", "")</f>
        <v/>
      </c>
      <c r="O195" s="302" t="str" cm="1">
        <f t="array" ref="O195">IFERROR(INDEX(IM!$X$2:$X$652, MATCH(1, (IM!$F$2:$F$652=A195) * (ISNUMBER(SEARCH($D$1, IM!$AC$2:$AC$652))), 0)), "")</f>
        <v/>
      </c>
      <c r="P195" s="196" t="str">
        <f t="shared" si="30"/>
        <v>-4046-板橋福康店(定保)</v>
      </c>
      <c r="Q195" s="144"/>
      <c r="R195" s="144"/>
      <c r="S195" s="144"/>
      <c r="T195" s="144"/>
      <c r="U195" s="305">
        <f t="shared" si="31"/>
        <v>2</v>
      </c>
      <c r="V195" s="289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4" t="s">
        <v>31</v>
      </c>
      <c r="B196" s="185" t="s">
        <v>643</v>
      </c>
      <c r="C196" s="186" t="str">
        <f>VLOOKUP($A196,'0919門市清單主檔'!B:V,20,FALSE)</f>
        <v>新北市</v>
      </c>
      <c r="D196" s="187" t="str">
        <f>VLOOKUP($A196,'0919門市清單主檔'!B:V,21,FALSE)</f>
        <v>板橋區</v>
      </c>
      <c r="E196" s="188" t="str">
        <f>VLOOKUP(D196,區域表!A:B,2,FALSE)</f>
        <v>狄澤洋</v>
      </c>
      <c r="F196" s="189" t="str">
        <f>IFERROR(IF(VLOOKUP(A196,門市狀態!A:D,4,FALSE)=0,"",VLOOKUP(A196,門市狀態!A:D,4,FALSE)),"")</f>
        <v/>
      </c>
      <c r="G196" s="190" t="s">
        <v>1749</v>
      </c>
      <c r="H196" s="191" t="str">
        <f t="shared" si="29"/>
        <v>-D161-北縣僑中三店(定保)</v>
      </c>
      <c r="I196" s="195" t="s">
        <v>1749</v>
      </c>
      <c r="J196" s="193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5" t="str" cm="1">
        <f t="array" ref="L196">IF(K196&gt;0,IFERROR(HYPERLINK("#'IM'!AC"&amp;MATCH(1,(IM!$F$1:$F$7702=A196)*(ISNUMBER(SEARCH("PMQ2",IM!$AC$1:$AC$7702))),0),"檢核"),"未登錄"),"")</f>
        <v/>
      </c>
      <c r="M196" s="268" t="str" cm="1">
        <f t="array" ref="M196">IF(AND(SUMPRODUCT((IM!F2:F833=A196)*(ISNUMBER(SEARCH("EDC", IM!AC2:AC833))))&gt;0), "EDC", "")</f>
        <v/>
      </c>
      <c r="N196" s="311" t="str" cm="1">
        <f t="array" ref="N196">IF(AND(SUMPRODUCT((IM!F2:F833=A196)*(ISNUMBER(SEARCH("STAR", IM!AC2:AC833))))&gt;0), "STAR", "")</f>
        <v/>
      </c>
      <c r="O196" s="302" t="str" cm="1">
        <f t="array" ref="O196">IFERROR(INDEX(IM!$X$2:$X$652, MATCH(1, (IM!$F$2:$F$652=A196) * (ISNUMBER(SEARCH($D$1, IM!$AC$2:$AC$652))), 0)), "")</f>
        <v/>
      </c>
      <c r="P196" s="196" t="str">
        <f t="shared" si="30"/>
        <v>-D161-北縣僑中三店(定保)</v>
      </c>
      <c r="Q196" s="144"/>
      <c r="R196" s="144"/>
      <c r="S196" s="144"/>
      <c r="T196" s="144"/>
      <c r="U196" s="305">
        <f t="shared" si="31"/>
        <v>2</v>
      </c>
      <c r="V196" s="289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4">
        <v>4145</v>
      </c>
      <c r="B197" s="185" t="s">
        <v>317</v>
      </c>
      <c r="C197" s="186" t="str">
        <f>VLOOKUP($A197,'0919門市清單主檔'!B:V,20,FALSE)</f>
        <v>新北市</v>
      </c>
      <c r="D197" s="187" t="str">
        <f>VLOOKUP($A197,'0919門市清單主檔'!B:V,21,FALSE)</f>
        <v>板橋區</v>
      </c>
      <c r="E197" s="188" t="str">
        <f>VLOOKUP(D197,區域表!A:B,2,FALSE)</f>
        <v>狄澤洋</v>
      </c>
      <c r="F197" s="189" t="str">
        <f>IFERROR(IF(VLOOKUP(A197,門市狀態!A:D,4,FALSE)=0,"",VLOOKUP(A197,門市狀態!A:D,4,FALSE)),"")</f>
        <v/>
      </c>
      <c r="G197" s="190" t="s">
        <v>1749</v>
      </c>
      <c r="H197" s="191" t="str">
        <f t="shared" si="29"/>
        <v>-4145-板橋僑興店(定保)</v>
      </c>
      <c r="I197" s="195" t="s">
        <v>1749</v>
      </c>
      <c r="J197" s="193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5" t="str" cm="1">
        <f t="array" ref="L197">IF(K197&gt;0,IFERROR(HYPERLINK("#'IM'!AC"&amp;MATCH(1,(IM!$F$1:$F$7702=A197)*(ISNUMBER(SEARCH("PMQ2",IM!$AC$1:$AC$7702))),0),"檢核"),"未登錄"),"")</f>
        <v/>
      </c>
      <c r="M197" s="268" t="str" cm="1">
        <f t="array" ref="M197">IF(AND(SUMPRODUCT((IM!F2:F834=A197)*(ISNUMBER(SEARCH("EDC", IM!AC2:AC834))))&gt;0), "EDC", "")</f>
        <v/>
      </c>
      <c r="N197" s="311" t="str" cm="1">
        <f t="array" ref="N197">IF(AND(SUMPRODUCT((IM!F2:F834=A197)*(ISNUMBER(SEARCH("STAR", IM!AC2:AC834))))&gt;0), "STAR", "")</f>
        <v/>
      </c>
      <c r="O197" s="302" t="str" cm="1">
        <f t="array" ref="O197">IFERROR(INDEX(IM!$X$2:$X$652, MATCH(1, (IM!$F$2:$F$652=A197) * (ISNUMBER(SEARCH($D$1, IM!$AC$2:$AC$652))), 0)), "")</f>
        <v/>
      </c>
      <c r="P197" s="196" t="str">
        <f t="shared" si="30"/>
        <v>-4145-板橋僑興店(定保)</v>
      </c>
      <c r="Q197" s="144"/>
      <c r="R197" s="144"/>
      <c r="S197" s="144"/>
      <c r="T197" s="144"/>
      <c r="U197" s="305">
        <f t="shared" si="31"/>
        <v>2</v>
      </c>
      <c r="V197" s="289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4">
        <v>4025</v>
      </c>
      <c r="B198" s="185" t="s">
        <v>296</v>
      </c>
      <c r="C198" s="186" t="str">
        <f>VLOOKUP($A198,'0919門市清單主檔'!B:V,20,FALSE)</f>
        <v>新北市</v>
      </c>
      <c r="D198" s="187" t="str">
        <f>VLOOKUP($A198,'0919門市清單主檔'!B:V,21,FALSE)</f>
        <v>新莊區</v>
      </c>
      <c r="E198" s="188" t="str">
        <f>VLOOKUP(D198,區域表!A:B,2,FALSE)</f>
        <v>湯家瑋</v>
      </c>
      <c r="F198" s="189" t="str">
        <f>IFERROR(IF(VLOOKUP(A198,門市狀態!A:D,4,FALSE)=0,"",VLOOKUP(A198,門市狀態!A:D,4,FALSE)),"")</f>
        <v/>
      </c>
      <c r="G198" s="190" t="s">
        <v>1749</v>
      </c>
      <c r="H198" s="191" t="str">
        <f t="shared" si="29"/>
        <v>-4025-新莊祐信店(定保)</v>
      </c>
      <c r="I198" s="195" t="s">
        <v>1749</v>
      </c>
      <c r="J198" s="193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5" t="str" cm="1">
        <f t="array" ref="L198">IF(K198&gt;0,IFERROR(HYPERLINK("#'IM'!AC"&amp;MATCH(1,(IM!$F$1:$F$7702=A198)*(ISNUMBER(SEARCH("PMQ2",IM!$AC$1:$AC$7702))),0),"檢核"),"未登錄"),"")</f>
        <v/>
      </c>
      <c r="M198" s="268" t="str" cm="1">
        <f t="array" ref="M198">IF(AND(SUMPRODUCT((IM!F2:F835=A198)*(ISNUMBER(SEARCH("EDC", IM!AC2:AC835))))&gt;0), "EDC", "")</f>
        <v/>
      </c>
      <c r="N198" s="311" t="str" cm="1">
        <f t="array" ref="N198">IF(AND(SUMPRODUCT((IM!F2:F835=A198)*(ISNUMBER(SEARCH("STAR", IM!AC2:AC835))))&gt;0), "STAR", "")</f>
        <v/>
      </c>
      <c r="O198" s="302" t="str" cm="1">
        <f t="array" ref="O198">IFERROR(INDEX(IM!$X$2:$X$652, MATCH(1, (IM!$F$2:$F$652=A198) * (ISNUMBER(SEARCH($D$1, IM!$AC$2:$AC$652))), 0)), "")</f>
        <v/>
      </c>
      <c r="P198" s="196" t="str">
        <f t="shared" si="30"/>
        <v>-4025-新莊祐信店(定保)</v>
      </c>
      <c r="Q198" s="144"/>
      <c r="R198" s="144"/>
      <c r="S198" s="144"/>
      <c r="T198" s="144"/>
      <c r="U198" s="305">
        <f t="shared" si="31"/>
        <v>2</v>
      </c>
      <c r="V198" s="289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4">
        <v>2403</v>
      </c>
      <c r="B199" s="185" t="s">
        <v>101</v>
      </c>
      <c r="C199" s="186" t="str">
        <f>VLOOKUP($A199,'0919門市清單主檔'!B:V,20,FALSE)</f>
        <v>新北市</v>
      </c>
      <c r="D199" s="187" t="str">
        <f>VLOOKUP($A199,'0919門市清單主檔'!B:V,21,FALSE)</f>
        <v>板橋區</v>
      </c>
      <c r="E199" s="188" t="str">
        <f>VLOOKUP(D199,區域表!A:B,2,FALSE)</f>
        <v>狄澤洋</v>
      </c>
      <c r="F199" s="189" t="str">
        <f>IFERROR(IF(VLOOKUP(A199,門市狀態!A:D,4,FALSE)=0,"",VLOOKUP(A199,門市狀態!A:D,4,FALSE)),"")</f>
        <v/>
      </c>
      <c r="G199" s="190" t="s">
        <v>1749</v>
      </c>
      <c r="H199" s="191" t="str">
        <f t="shared" si="29"/>
        <v>-2403-北縣板龍店(定保)</v>
      </c>
      <c r="I199" s="195" t="s">
        <v>1749</v>
      </c>
      <c r="J199" s="193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5" t="str" cm="1">
        <f t="array" ref="L199">IF(K199&gt;0,IFERROR(HYPERLINK("#'IM'!AC"&amp;MATCH(1,(IM!$F$1:$F$7702=A199)*(ISNUMBER(SEARCH("PMQ2",IM!$AC$1:$AC$7702))),0),"檢核"),"未登錄"),"")</f>
        <v/>
      </c>
      <c r="M199" s="268" t="str" cm="1">
        <f t="array" ref="M199">IF(AND(SUMPRODUCT((IM!F2:F836=A199)*(ISNUMBER(SEARCH("EDC", IM!AC2:AC836))))&gt;0), "EDC", "")</f>
        <v/>
      </c>
      <c r="N199" s="311" t="str" cm="1">
        <f t="array" ref="N199">IF(AND(SUMPRODUCT((IM!F2:F836=A199)*(ISNUMBER(SEARCH("STAR", IM!AC2:AC836))))&gt;0), "STAR", "")</f>
        <v/>
      </c>
      <c r="O199" s="302" t="str" cm="1">
        <f t="array" ref="O199">IFERROR(INDEX(IM!$X$2:$X$652, MATCH(1, (IM!$F$2:$F$652=A199) * (ISNUMBER(SEARCH($D$1, IM!$AC$2:$AC$652))), 0)), "")</f>
        <v/>
      </c>
      <c r="P199" s="196" t="str">
        <f t="shared" si="30"/>
        <v>-2403-北縣板龍店(定保)</v>
      </c>
      <c r="Q199" s="144"/>
      <c r="R199" s="144"/>
      <c r="S199" s="144"/>
      <c r="T199" s="144"/>
      <c r="U199" s="305">
        <f t="shared" si="31"/>
        <v>2</v>
      </c>
      <c r="V199" s="289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4">
        <v>4341</v>
      </c>
      <c r="B200" s="185" t="s">
        <v>371</v>
      </c>
      <c r="C200" s="186" t="str">
        <f>VLOOKUP($A200,'0919門市清單主檔'!B:V,20,FALSE)</f>
        <v>新北市</v>
      </c>
      <c r="D200" s="187" t="str">
        <f>VLOOKUP($A200,'0919門市清單主檔'!B:V,21,FALSE)</f>
        <v>新莊區</v>
      </c>
      <c r="E200" s="188" t="str">
        <f>VLOOKUP(D200,區域表!A:B,2,FALSE)</f>
        <v>湯家瑋</v>
      </c>
      <c r="F200" s="189" t="str">
        <f>IFERROR(IF(VLOOKUP(A200,門市狀態!A:D,4,FALSE)=0,"",VLOOKUP(A200,門市狀態!A:D,4,FALSE)),"")</f>
        <v/>
      </c>
      <c r="G200" s="190" t="s">
        <v>1749</v>
      </c>
      <c r="H200" s="191" t="str">
        <f t="shared" si="29"/>
        <v>-4341-新莊莊美店(定保)</v>
      </c>
      <c r="I200" s="195" t="s">
        <v>1749</v>
      </c>
      <c r="J200" s="193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5" t="str" cm="1">
        <f t="array" ref="L200">IF(K200&gt;0,IFERROR(HYPERLINK("#'IM'!AC"&amp;MATCH(1,(IM!$F$1:$F$7702=A200)*(ISNUMBER(SEARCH("PMQ2",IM!$AC$1:$AC$7702))),0),"檢核"),"未登錄"),"")</f>
        <v/>
      </c>
      <c r="M200" s="268" t="str" cm="1">
        <f t="array" ref="M200">IF(AND(SUMPRODUCT((IM!F2:F837=A200)*(ISNUMBER(SEARCH("EDC", IM!AC2:AC837))))&gt;0), "EDC", "")</f>
        <v/>
      </c>
      <c r="N200" s="311" t="str" cm="1">
        <f t="array" ref="N200">IF(AND(SUMPRODUCT((IM!F2:F837=A200)*(ISNUMBER(SEARCH("STAR", IM!AC2:AC837))))&gt;0), "STAR", "")</f>
        <v/>
      </c>
      <c r="O200" s="302" t="str" cm="1">
        <f t="array" ref="O200">IFERROR(INDEX(IM!$X$2:$X$652, MATCH(1, (IM!$F$2:$F$652=A200) * (ISNUMBER(SEARCH($D$1, IM!$AC$2:$AC$652))), 0)), "")</f>
        <v/>
      </c>
      <c r="P200" s="196" t="str">
        <f t="shared" si="30"/>
        <v>-4341-新莊莊美店(定保)</v>
      </c>
      <c r="Q200" s="144"/>
      <c r="R200" s="144"/>
      <c r="S200" s="144"/>
      <c r="T200" s="144"/>
      <c r="U200" s="305">
        <f t="shared" si="31"/>
        <v>2</v>
      </c>
      <c r="V200" s="289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4" t="s">
        <v>33</v>
      </c>
      <c r="B201" s="185" t="s">
        <v>652</v>
      </c>
      <c r="C201" s="186" t="str">
        <f>VLOOKUP($A201,'0919門市清單主檔'!B:V,20,FALSE)</f>
        <v>新北市</v>
      </c>
      <c r="D201" s="187" t="str">
        <f>VLOOKUP($A201,'0919門市清單主檔'!B:V,21,FALSE)</f>
        <v>板橋區</v>
      </c>
      <c r="E201" s="188" t="str">
        <f>VLOOKUP(D201,區域表!A:B,2,FALSE)</f>
        <v>狄澤洋</v>
      </c>
      <c r="F201" s="189" t="str">
        <f>IFERROR(IF(VLOOKUP(A201,門市狀態!A:D,4,FALSE)=0,"",VLOOKUP(A201,門市狀態!A:D,4,FALSE)),"")</f>
        <v/>
      </c>
      <c r="G201" s="190" t="s">
        <v>1749</v>
      </c>
      <c r="H201" s="191" t="str">
        <f t="shared" si="29"/>
        <v>-D609-板橋大興店(定保)</v>
      </c>
      <c r="I201" s="195" t="s">
        <v>1749</v>
      </c>
      <c r="J201" s="193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5" t="str" cm="1">
        <f t="array" ref="L201">IF(K201&gt;0,IFERROR(HYPERLINK("#'IM'!AC"&amp;MATCH(1,(IM!$F$1:$F$7702=A201)*(ISNUMBER(SEARCH("PMQ2",IM!$AC$1:$AC$7702))),0),"檢核"),"未登錄"),"")</f>
        <v/>
      </c>
      <c r="M201" s="268" t="str" cm="1">
        <f t="array" ref="M201">IF(AND(SUMPRODUCT((IM!F2:F838=A201)*(ISNUMBER(SEARCH("EDC", IM!AC2:AC838))))&gt;0), "EDC", "")</f>
        <v/>
      </c>
      <c r="N201" s="311" t="str" cm="1">
        <f t="array" ref="N201">IF(AND(SUMPRODUCT((IM!F2:F838=A201)*(ISNUMBER(SEARCH("STAR", IM!AC2:AC838))))&gt;0), "STAR", "")</f>
        <v/>
      </c>
      <c r="O201" s="302" t="str" cm="1">
        <f t="array" ref="O201">IFERROR(INDEX(IM!$X$2:$X$652, MATCH(1, (IM!$F$2:$F$652=A201) * (ISNUMBER(SEARCH($D$1, IM!$AC$2:$AC$652))), 0)), "")</f>
        <v/>
      </c>
      <c r="P201" s="196" t="str">
        <f t="shared" si="30"/>
        <v>-D609-板橋大興店(定保)</v>
      </c>
      <c r="Q201" s="144"/>
      <c r="R201" s="144"/>
      <c r="S201" s="144"/>
      <c r="T201" s="144"/>
      <c r="U201" s="305">
        <f t="shared" si="31"/>
        <v>2</v>
      </c>
      <c r="V201" s="289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4">
        <v>3358</v>
      </c>
      <c r="B202" s="185" t="s">
        <v>4451</v>
      </c>
      <c r="C202" s="186" t="str">
        <f>VLOOKUP($A202,'0919門市清單主檔'!B:V,20,FALSE)</f>
        <v>新北市</v>
      </c>
      <c r="D202" s="187" t="str">
        <f>VLOOKUP($A202,'0919門市清單主檔'!B:V,21,FALSE)</f>
        <v>新莊區</v>
      </c>
      <c r="E202" s="188" t="str">
        <f>VLOOKUP(D202,區域表!A:B,2,FALSE)</f>
        <v>湯家瑋</v>
      </c>
      <c r="F202" s="189" t="str">
        <f>IFERROR(IF(VLOOKUP(A202,門市狀態!A:D,4,FALSE)=0,"",VLOOKUP(A202,門市狀態!A:D,4,FALSE)),"")</f>
        <v/>
      </c>
      <c r="G202" s="190" t="s">
        <v>1749</v>
      </c>
      <c r="H202" s="191" t="str">
        <f t="shared" si="29"/>
        <v>-3358-新莊棒球場(定保)</v>
      </c>
      <c r="I202" s="195" t="s">
        <v>1749</v>
      </c>
      <c r="J202" s="193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5" t="str" cm="1">
        <f t="array" ref="L202">IF(K202&gt;0,IFERROR(HYPERLINK("#'IM'!AC"&amp;MATCH(1,(IM!$F$1:$F$7702=A202)*(ISNUMBER(SEARCH("PMQ2",IM!$AC$1:$AC$7702))),0),"檢核"),"未登錄"),"")</f>
        <v/>
      </c>
      <c r="M202" s="268" t="str" cm="1">
        <f t="array" ref="M202">IF(AND(SUMPRODUCT((IM!F2:F839=A202)*(ISNUMBER(SEARCH("EDC", IM!AC2:AC839))))&gt;0), "EDC", "")</f>
        <v/>
      </c>
      <c r="N202" s="311" t="str" cm="1">
        <f t="array" ref="N202">IF(AND(SUMPRODUCT((IM!F2:F839=A202)*(ISNUMBER(SEARCH("STAR", IM!AC2:AC839))))&gt;0), "STAR", "")</f>
        <v/>
      </c>
      <c r="O202" s="302" t="str" cm="1">
        <f t="array" ref="O202">IFERROR(INDEX(IM!$X$2:$X$652, MATCH(1, (IM!$F$2:$F$652=A202) * (ISNUMBER(SEARCH($D$1, IM!$AC$2:$AC$652))), 0)), "")</f>
        <v/>
      </c>
      <c r="P202" s="196" t="str">
        <f t="shared" si="30"/>
        <v>-3358-新莊棒球場(定保)</v>
      </c>
      <c r="Q202" s="144"/>
      <c r="R202" s="144"/>
      <c r="S202" s="144"/>
      <c r="T202" s="144"/>
      <c r="U202" s="305">
        <f t="shared" si="31"/>
        <v>0</v>
      </c>
      <c r="V202" s="289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4">
        <v>4552</v>
      </c>
      <c r="B203" s="185" t="s">
        <v>438</v>
      </c>
      <c r="C203" s="186" t="str">
        <f>VLOOKUP($A203,'0919門市清單主檔'!B:V,20,FALSE)</f>
        <v>新北市</v>
      </c>
      <c r="D203" s="187" t="str">
        <f>VLOOKUP($A203,'0919門市清單主檔'!B:V,21,FALSE)</f>
        <v>新莊區</v>
      </c>
      <c r="E203" s="188" t="str">
        <f>VLOOKUP(D203,區域表!A:B,2,FALSE)</f>
        <v>湯家瑋</v>
      </c>
      <c r="F203" s="189" t="str">
        <f>IFERROR(IF(VLOOKUP(A203,門市狀態!A:D,4,FALSE)=0,"",VLOOKUP(A203,門市狀態!A:D,4,FALSE)),"")</f>
        <v/>
      </c>
      <c r="G203" s="190" t="s">
        <v>1749</v>
      </c>
      <c r="H203" s="191" t="str">
        <f t="shared" si="29"/>
        <v>-4552-新莊福慧店(定保)</v>
      </c>
      <c r="I203" s="195" t="s">
        <v>1749</v>
      </c>
      <c r="J203" s="193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5" t="str" cm="1">
        <f t="array" ref="L203">IF(K203&gt;0,IFERROR(HYPERLINK("#'IM'!AC"&amp;MATCH(1,(IM!$F$1:$F$7702=A203)*(ISNUMBER(SEARCH("PMQ2",IM!$AC$1:$AC$7702))),0),"檢核"),"未登錄"),"")</f>
        <v/>
      </c>
      <c r="M203" s="268" t="str" cm="1">
        <f t="array" ref="M203">IF(AND(SUMPRODUCT((IM!F2:F840=A203)*(ISNUMBER(SEARCH("EDC", IM!AC2:AC840))))&gt;0), "EDC", "")</f>
        <v/>
      </c>
      <c r="N203" s="311" t="str" cm="1">
        <f t="array" ref="N203">IF(AND(SUMPRODUCT((IM!F2:F840=A203)*(ISNUMBER(SEARCH("STAR", IM!AC2:AC840))))&gt;0), "STAR", "")</f>
        <v/>
      </c>
      <c r="O203" s="302" t="str" cm="1">
        <f t="array" ref="O203">IFERROR(INDEX(IM!$X$2:$X$652, MATCH(1, (IM!$F$2:$F$652=A203) * (ISNUMBER(SEARCH($D$1, IM!$AC$2:$AC$652))), 0)), "")</f>
        <v/>
      </c>
      <c r="P203" s="196" t="str">
        <f t="shared" si="30"/>
        <v>-4552-新莊福慧店(定保)</v>
      </c>
      <c r="Q203" s="144"/>
      <c r="R203" s="144"/>
      <c r="S203" s="144"/>
      <c r="T203" s="144"/>
      <c r="U203" s="305">
        <f t="shared" si="31"/>
        <v>1</v>
      </c>
      <c r="V203" s="289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4">
        <v>3955</v>
      </c>
      <c r="B204" s="185" t="s">
        <v>272</v>
      </c>
      <c r="C204" s="186" t="str">
        <f>VLOOKUP($A204,'0919門市清單主檔'!B:V,20,FALSE)</f>
        <v>新北市</v>
      </c>
      <c r="D204" s="187" t="str">
        <f>VLOOKUP($A204,'0919門市清單主檔'!B:V,21,FALSE)</f>
        <v>板橋區</v>
      </c>
      <c r="E204" s="188" t="str">
        <f>VLOOKUP(D204,區域表!A:B,2,FALSE)</f>
        <v>狄澤洋</v>
      </c>
      <c r="F204" s="189" t="str">
        <f>IFERROR(IF(VLOOKUP(A204,門市狀態!A:D,4,FALSE)=0,"",VLOOKUP(A204,門市狀態!A:D,4,FALSE)),"")</f>
        <v/>
      </c>
      <c r="G204" s="190" t="s">
        <v>1749</v>
      </c>
      <c r="H204" s="191" t="str">
        <f t="shared" si="29"/>
        <v>-3955-板橋海龍店(定保)</v>
      </c>
      <c r="I204" s="195" t="s">
        <v>1749</v>
      </c>
      <c r="J204" s="193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5" t="str" cm="1">
        <f t="array" ref="L204">IF(K204&gt;0,IFERROR(HYPERLINK("#'IM'!AC"&amp;MATCH(1,(IM!$F$1:$F$7702=A204)*(ISNUMBER(SEARCH("PMQ2",IM!$AC$1:$AC$7702))),0),"檢核"),"未登錄"),"")</f>
        <v/>
      </c>
      <c r="M204" s="268" t="str" cm="1">
        <f t="array" ref="M204">IF(AND(SUMPRODUCT((IM!F2:F841=A204)*(ISNUMBER(SEARCH("EDC", IM!AC2:AC841))))&gt;0), "EDC", "")</f>
        <v/>
      </c>
      <c r="N204" s="311" t="str" cm="1">
        <f t="array" ref="N204">IF(AND(SUMPRODUCT((IM!F2:F841=A204)*(ISNUMBER(SEARCH("STAR", IM!AC2:AC841))))&gt;0), "STAR", "")</f>
        <v/>
      </c>
      <c r="O204" s="302" t="str" cm="1">
        <f t="array" ref="O204">IFERROR(INDEX(IM!$X$2:$X$652, MATCH(1, (IM!$F$2:$F$652=A204) * (ISNUMBER(SEARCH($D$1, IM!$AC$2:$AC$652))), 0)), "")</f>
        <v/>
      </c>
      <c r="P204" s="196" t="str">
        <f t="shared" si="30"/>
        <v>-3955-板橋海龍店(定保)</v>
      </c>
      <c r="Q204" s="144"/>
      <c r="R204" s="144"/>
      <c r="S204" s="144"/>
      <c r="T204" s="144"/>
      <c r="U204" s="305">
        <f t="shared" si="31"/>
        <v>2</v>
      </c>
      <c r="V204" s="289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4" t="s">
        <v>46</v>
      </c>
      <c r="B205" s="185" t="s">
        <v>731</v>
      </c>
      <c r="C205" s="186" t="str">
        <f>VLOOKUP($A205,'0919門市清單主檔'!B:V,20,FALSE)</f>
        <v>新北市</v>
      </c>
      <c r="D205" s="187" t="str">
        <f>VLOOKUP($A205,'0919門市清單主檔'!B:V,21,FALSE)</f>
        <v>新莊區</v>
      </c>
      <c r="E205" s="188" t="str">
        <f>VLOOKUP(D205,區域表!A:B,2,FALSE)</f>
        <v>湯家瑋</v>
      </c>
      <c r="F205" s="189" t="str">
        <f>IFERROR(IF(VLOOKUP(A205,門市狀態!A:D,4,FALSE)=0,"",VLOOKUP(A205,門市狀態!A:D,4,FALSE)),"")</f>
        <v/>
      </c>
      <c r="G205" s="190" t="s">
        <v>1750</v>
      </c>
      <c r="H205" s="191" t="str">
        <f t="shared" si="29"/>
        <v>-L516-車麗屋新莊店(定保)</v>
      </c>
      <c r="I205" s="195" t="s">
        <v>1749</v>
      </c>
      <c r="J205" s="193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5" t="str" cm="1">
        <f t="array" ref="L205">IF(K205&gt;0,IFERROR(HYPERLINK("#'IM'!AC"&amp;MATCH(1,(IM!$F$1:$F$7702=A205)*(ISNUMBER(SEARCH("PMQ2",IM!$AC$1:$AC$7702))),0),"檢核"),"未登錄"),"")</f>
        <v/>
      </c>
      <c r="M205" s="268" t="str" cm="1">
        <f t="array" ref="M205">IF(AND(SUMPRODUCT((IM!F2:F842=A205)*(ISNUMBER(SEARCH("EDC", IM!AC2:AC842))))&gt;0), "EDC", "")</f>
        <v/>
      </c>
      <c r="N205" s="311" t="str" cm="1">
        <f t="array" ref="N205">IF(AND(SUMPRODUCT((IM!F2:F842=A205)*(ISNUMBER(SEARCH("STAR", IM!AC2:AC842))))&gt;0), "STAR", "")</f>
        <v/>
      </c>
      <c r="O205" s="302" t="str" cm="1">
        <f t="array" ref="O205">IFERROR(INDEX(IM!$X$2:$X$652, MATCH(1, (IM!$F$2:$F$652=A205) * (ISNUMBER(SEARCH($D$1, IM!$AC$2:$AC$652))), 0)), "")</f>
        <v/>
      </c>
      <c r="P205" s="196" t="str">
        <f t="shared" si="30"/>
        <v>-L516-車麗屋新莊店(定保)</v>
      </c>
      <c r="Q205" s="297"/>
      <c r="R205" s="297"/>
      <c r="S205" s="297"/>
      <c r="T205" s="297"/>
      <c r="U205" s="305">
        <f t="shared" si="31"/>
        <v>0</v>
      </c>
      <c r="V205" s="289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4">
        <v>2362</v>
      </c>
      <c r="B206" s="185" t="s">
        <v>97</v>
      </c>
      <c r="C206" s="186" t="str">
        <f>VLOOKUP($A206,'0919門市清單主檔'!B:V,20,FALSE)</f>
        <v>新北市</v>
      </c>
      <c r="D206" s="187" t="str">
        <f>VLOOKUP($A206,'0919門市清單主檔'!B:V,21,FALSE)</f>
        <v>新莊區</v>
      </c>
      <c r="E206" s="188" t="str">
        <f>VLOOKUP(D206,區域表!A:B,2,FALSE)</f>
        <v>湯家瑋</v>
      </c>
      <c r="F206" s="189" t="str">
        <f>IFERROR(IF(VLOOKUP(A206,門市狀態!A:D,4,FALSE)=0,"",VLOOKUP(A206,門市狀態!A:D,4,FALSE)),"")</f>
        <v/>
      </c>
      <c r="G206" s="190" t="s">
        <v>1749</v>
      </c>
      <c r="H206" s="191" t="str">
        <f t="shared" si="29"/>
        <v>-2362-新莊化成店(定保)</v>
      </c>
      <c r="I206" s="195" t="s">
        <v>1749</v>
      </c>
      <c r="J206" s="193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5" t="str" cm="1">
        <f t="array" ref="L206">IF(K206&gt;0,IFERROR(HYPERLINK("#'IM'!AC"&amp;MATCH(1,(IM!$F$1:$F$7702=A206)*(ISNUMBER(SEARCH("PMQ2",IM!$AC$1:$AC$7702))),0),"檢核"),"未登錄"),"")</f>
        <v/>
      </c>
      <c r="M206" s="268" t="str" cm="1">
        <f t="array" ref="M206">IF(AND(SUMPRODUCT((IM!F2:F857=A206)*(ISNUMBER(SEARCH("EDC", IM!AC2:AC857))))&gt;0), "EDC", "")</f>
        <v/>
      </c>
      <c r="N206" s="311" t="str" cm="1">
        <f t="array" ref="N206">IF(AND(SUMPRODUCT((IM!F2:F857=A206)*(ISNUMBER(SEARCH("STAR", IM!AC2:AC857))))&gt;0), "STAR", "")</f>
        <v/>
      </c>
      <c r="O206" s="302" t="str" cm="1">
        <f t="array" ref="O206">IFERROR(INDEX(IM!$X$2:$X$652, MATCH(1, (IM!$F$2:$F$652=A206) * (ISNUMBER(SEARCH($D$1, IM!$AC$2:$AC$652))), 0)), "")</f>
        <v/>
      </c>
      <c r="P206" s="196" t="str">
        <f t="shared" si="30"/>
        <v>-2362-新莊化成店(定保)</v>
      </c>
      <c r="Q206" s="144"/>
      <c r="R206" s="144"/>
      <c r="S206" s="144"/>
      <c r="T206" s="144"/>
      <c r="U206" s="305">
        <f t="shared" si="31"/>
        <v>2</v>
      </c>
      <c r="V206" s="289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4">
        <v>4679</v>
      </c>
      <c r="B207" s="185" t="s">
        <v>483</v>
      </c>
      <c r="C207" s="186" t="str">
        <f>VLOOKUP($A207,'0919門市清單主檔'!B:V,20,FALSE)</f>
        <v>新北市</v>
      </c>
      <c r="D207" s="187" t="str">
        <f>VLOOKUP($A207,'0919門市清單主檔'!B:V,21,FALSE)</f>
        <v>新莊區</v>
      </c>
      <c r="E207" s="188" t="str">
        <f>VLOOKUP(D207,區域表!A:B,2,FALSE)</f>
        <v>湯家瑋</v>
      </c>
      <c r="F207" s="189" t="str">
        <f>IFERROR(IF(VLOOKUP(A207,門市狀態!A:D,4,FALSE)=0,"",VLOOKUP(A207,門市狀態!A:D,4,FALSE)),"")</f>
        <v/>
      </c>
      <c r="G207" s="190" t="s">
        <v>1749</v>
      </c>
      <c r="H207" s="191" t="str">
        <f t="shared" ref="H207:H224" si="35">IF(I207&gt;0,(TEXT(I207,"yyyymmdd")&amp;$T$3&amp;A207&amp;$T$3&amp;B207&amp;$R$3),"")</f>
        <v>-4679-新莊幸運店(定保)</v>
      </c>
      <c r="I207" s="195" t="s">
        <v>1749</v>
      </c>
      <c r="J207" s="193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5" t="str" cm="1">
        <f t="array" ref="L207">IF(K207&gt;0,IFERROR(HYPERLINK("#'IM'!AC"&amp;MATCH(1,(IM!$F$1:$F$7702=A207)*(ISNUMBER(SEARCH("PMQ2",IM!$AC$1:$AC$7702))),0),"檢核"),"未登錄"),"")</f>
        <v/>
      </c>
      <c r="M207" s="268" t="str" cm="1">
        <f t="array" ref="M207">IF(AND(SUMPRODUCT((IM!F2:F858=A207)*(ISNUMBER(SEARCH("EDC", IM!AC2:AC858))))&gt;0), "EDC", "")</f>
        <v/>
      </c>
      <c r="N207" s="311" t="str" cm="1">
        <f t="array" ref="N207">IF(AND(SUMPRODUCT((IM!F2:F858=A207)*(ISNUMBER(SEARCH("STAR", IM!AC2:AC858))))&gt;0), "STAR", "")</f>
        <v/>
      </c>
      <c r="O207" s="302" t="str" cm="1">
        <f t="array" ref="O207">IFERROR(INDEX(IM!$X$2:$X$652, MATCH(1, (IM!$F$2:$F$652=A207) * (ISNUMBER(SEARCH($D$1, IM!$AC$2:$AC$652))), 0)), "")</f>
        <v/>
      </c>
      <c r="P207" s="196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5">
        <f t="shared" ref="U207:U224" si="37">IF(AND(W207&lt;&gt;"", X207&lt;&gt;""), 2, IF(OR(W207&lt;&gt;"", X207&lt;&gt;""), 1, 0))</f>
        <v>0</v>
      </c>
      <c r="V207" s="289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4">
        <v>4228</v>
      </c>
      <c r="B208" s="185" t="s">
        <v>1561</v>
      </c>
      <c r="C208" s="186" t="str">
        <f>VLOOKUP($A208,'0919門市清單主檔'!B:V,20,FALSE)</f>
        <v>新北市</v>
      </c>
      <c r="D208" s="187" t="str">
        <f>VLOOKUP($A208,'0919門市清單主檔'!B:V,21,FALSE)</f>
        <v>新莊區</v>
      </c>
      <c r="E208" s="188" t="str">
        <f>VLOOKUP(D208,區域表!A:B,2,FALSE)</f>
        <v>湯家瑋</v>
      </c>
      <c r="F208" s="189" t="str">
        <f>IFERROR(IF(VLOOKUP(A208,門市狀態!A:D,4,FALSE)=0,"",VLOOKUP(A208,門市狀態!A:D,4,FALSE)),"")</f>
        <v/>
      </c>
      <c r="G208" s="190" t="s">
        <v>1749</v>
      </c>
      <c r="H208" s="191" t="str">
        <f t="shared" si="35"/>
        <v>-4228-新莊頭前公園(定保)</v>
      </c>
      <c r="I208" s="195" t="s">
        <v>1749</v>
      </c>
      <c r="J208" s="193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5" t="str" cm="1">
        <f t="array" ref="L208">IF(K208&gt;0,IFERROR(HYPERLINK("#'IM'!AC"&amp;MATCH(1,(IM!$F$1:$F$7702=A208)*(ISNUMBER(SEARCH("PMQ2",IM!$AC$1:$AC$7702))),0),"檢核"),"未登錄"),"")</f>
        <v/>
      </c>
      <c r="M208" s="268" t="str" cm="1">
        <f t="array" ref="M208">IF(AND(SUMPRODUCT((IM!F2:F859=A208)*(ISNUMBER(SEARCH("EDC", IM!AC2:AC859))))&gt;0), "EDC", "")</f>
        <v/>
      </c>
      <c r="N208" s="311" t="str" cm="1">
        <f t="array" ref="N208">IF(AND(SUMPRODUCT((IM!F2:F859=A208)*(ISNUMBER(SEARCH("STAR", IM!AC2:AC859))))&gt;0), "STAR", "")</f>
        <v/>
      </c>
      <c r="O208" s="302" t="str" cm="1">
        <f t="array" ref="O208">IFERROR(INDEX(IM!$X$2:$X$652, MATCH(1, (IM!$F$2:$F$652=A208) * (ISNUMBER(SEARCH($D$1, IM!$AC$2:$AC$652))), 0)), "")</f>
        <v/>
      </c>
      <c r="P208" s="196" t="str">
        <f t="shared" si="36"/>
        <v>-4228-新莊頭前公園(定保)</v>
      </c>
      <c r="Q208" s="315"/>
      <c r="R208" s="315"/>
      <c r="S208" s="315"/>
      <c r="T208" s="315"/>
      <c r="U208" s="305">
        <f t="shared" si="37"/>
        <v>2</v>
      </c>
      <c r="V208" s="289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4">
        <v>3962</v>
      </c>
      <c r="B209" s="185" t="s">
        <v>276</v>
      </c>
      <c r="C209" s="186" t="str">
        <f>VLOOKUP($A209,'0919門市清單主檔'!B:V,20,FALSE)</f>
        <v>新北市</v>
      </c>
      <c r="D209" s="187" t="str">
        <f>VLOOKUP($A209,'0919門市清單主檔'!B:V,21,FALSE)</f>
        <v>板橋區</v>
      </c>
      <c r="E209" s="188" t="str">
        <f>VLOOKUP(D209,區域表!A:B,2,FALSE)</f>
        <v>狄澤洋</v>
      </c>
      <c r="F209" s="189" t="str">
        <f>IFERROR(IF(VLOOKUP(A209,門市狀態!A:D,4,FALSE)=0,"",VLOOKUP(A209,門市狀態!A:D,4,FALSE)),"")</f>
        <v/>
      </c>
      <c r="G209" s="190" t="s">
        <v>1749</v>
      </c>
      <c r="H209" s="191" t="str">
        <f t="shared" si="35"/>
        <v>-3962-板橋仁化店(定保)</v>
      </c>
      <c r="I209" s="195" t="s">
        <v>1749</v>
      </c>
      <c r="J209" s="193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5" t="str" cm="1">
        <f t="array" ref="L209">IF(K209&gt;0,IFERROR(HYPERLINK("#'IM'!AC"&amp;MATCH(1,(IM!$F$1:$F$7702=A209)*(ISNUMBER(SEARCH("PMQ2",IM!$AC$1:$AC$7702))),0),"檢核"),"未登錄"),"")</f>
        <v/>
      </c>
      <c r="M209" s="268" t="str" cm="1">
        <f t="array" ref="M209">IF(AND(SUMPRODUCT((IM!F2:F843=A209)*(ISNUMBER(SEARCH("EDC", IM!AC2:AC843))))&gt;0), "EDC", "")</f>
        <v/>
      </c>
      <c r="N209" s="311" t="str" cm="1">
        <f t="array" ref="N209">IF(AND(SUMPRODUCT((IM!F2:F843=A209)*(ISNUMBER(SEARCH("STAR", IM!AC2:AC843))))&gt;0), "STAR", "")</f>
        <v/>
      </c>
      <c r="O209" s="302" t="str" cm="1">
        <f t="array" ref="O209">IFERROR(INDEX(IM!$X$2:$X$652, MATCH(1, (IM!$F$2:$F$652=A209) * (ISNUMBER(SEARCH($D$1, IM!$AC$2:$AC$652))), 0)), "")</f>
        <v/>
      </c>
      <c r="P209" s="196" t="str">
        <f t="shared" si="36"/>
        <v>-3962-板橋仁化店(定保)</v>
      </c>
      <c r="Q209" s="144"/>
      <c r="R209" s="144"/>
      <c r="S209" s="144"/>
      <c r="T209" s="144"/>
      <c r="U209" s="305">
        <f t="shared" si="37"/>
        <v>2</v>
      </c>
      <c r="V209" s="289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4">
        <v>3399</v>
      </c>
      <c r="B210" s="185" t="s">
        <v>4053</v>
      </c>
      <c r="C210" s="186" t="str">
        <f>VLOOKUP($A210,'0919門市清單主檔'!B:V,20,FALSE)</f>
        <v>新北市</v>
      </c>
      <c r="D210" s="187" t="str">
        <f>VLOOKUP($A210,'0919門市清單主檔'!B:V,21,FALSE)</f>
        <v>板橋區</v>
      </c>
      <c r="E210" s="188" t="str">
        <f>VLOOKUP(D210,區域表!A:B,2,FALSE)</f>
        <v>狄澤洋</v>
      </c>
      <c r="F210" s="189" t="str">
        <f>IFERROR(IF(VLOOKUP(A210,門市狀態!A:D,4,FALSE)=0,"",VLOOKUP(A210,門市狀態!A:D,4,FALSE)),"")</f>
        <v/>
      </c>
      <c r="G210" s="190" t="s">
        <v>1749</v>
      </c>
      <c r="H210" s="191" t="str">
        <f t="shared" si="35"/>
        <v>-3399-板橋藝文中心(定保)</v>
      </c>
      <c r="I210" s="195" t="s">
        <v>1749</v>
      </c>
      <c r="J210" s="193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5" t="str" cm="1">
        <f t="array" ref="L210">IF(K210&gt;0,IFERROR(HYPERLINK("#'IM'!AC"&amp;MATCH(1,(IM!$F$1:$F$7702=A210)*(ISNUMBER(SEARCH("PMQ2",IM!$AC$1:$AC$7702))),0),"檢核"),"未登錄"),"")</f>
        <v/>
      </c>
      <c r="M210" s="268" t="str" cm="1">
        <f t="array" ref="M210">IF(AND(SUMPRODUCT((IM!F2:F847=A210)*(ISNUMBER(SEARCH("EDC", IM!AC2:AC847))))&gt;0), "EDC", "")</f>
        <v/>
      </c>
      <c r="N210" s="311" t="str" cm="1">
        <f t="array" ref="N210">IF(AND(SUMPRODUCT((IM!F2:F847=A210)*(ISNUMBER(SEARCH("STAR", IM!AC2:AC847))))&gt;0), "STAR", "")</f>
        <v/>
      </c>
      <c r="O210" s="302" t="str" cm="1">
        <f t="array" ref="O210">IFERROR(INDEX(IM!$X$2:$X$652, MATCH(1, (IM!$F$2:$F$652=A210) * (ISNUMBER(SEARCH($D$1, IM!$AC$2:$AC$652))), 0)), "")</f>
        <v/>
      </c>
      <c r="P210" s="196" t="str">
        <f t="shared" si="36"/>
        <v>-3399-板橋藝文中心(定保)</v>
      </c>
      <c r="Q210" s="144"/>
      <c r="R210" s="144"/>
      <c r="S210" s="144"/>
      <c r="T210" s="144"/>
      <c r="U210" s="305">
        <f t="shared" si="37"/>
        <v>2</v>
      </c>
      <c r="V210" s="289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4">
        <v>2154</v>
      </c>
      <c r="B211" s="185" t="s">
        <v>71</v>
      </c>
      <c r="C211" s="186" t="str">
        <f>VLOOKUP($A211,'0919門市清單主檔'!B:V,20,FALSE)</f>
        <v>新北市</v>
      </c>
      <c r="D211" s="187" t="str">
        <f>VLOOKUP($A211,'0919門市清單主檔'!B:V,21,FALSE)</f>
        <v>板橋區</v>
      </c>
      <c r="E211" s="188" t="str">
        <f>VLOOKUP(D211,區域表!A:B,2,FALSE)</f>
        <v>狄澤洋</v>
      </c>
      <c r="F211" s="189" t="str">
        <f>IFERROR(IF(VLOOKUP(A211,門市狀態!A:D,4,FALSE)=0,"",VLOOKUP(A211,門市狀態!A:D,4,FALSE)),"")</f>
        <v/>
      </c>
      <c r="G211" s="190" t="s">
        <v>1749</v>
      </c>
      <c r="H211" s="191" t="str">
        <f t="shared" si="35"/>
        <v>-2154-北縣板莊店(定保)</v>
      </c>
      <c r="I211" s="195" t="s">
        <v>1749</v>
      </c>
      <c r="J211" s="193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5" t="str" cm="1">
        <f t="array" ref="L211">IF(K211&gt;0,IFERROR(HYPERLINK("#'IM'!AC"&amp;MATCH(1,(IM!$F$1:$F$7702=A211)*(ISNUMBER(SEARCH("PMQ2",IM!$AC$1:$AC$7702))),0),"檢核"),"未登錄"),"")</f>
        <v/>
      </c>
      <c r="M211" s="268" t="str" cm="1">
        <f t="array" ref="M211">IF(AND(SUMPRODUCT((IM!F2:F846=A211)*(ISNUMBER(SEARCH("EDC", IM!AC2:AC846))))&gt;0), "EDC", "")</f>
        <v/>
      </c>
      <c r="N211" s="311" t="str" cm="1">
        <f t="array" ref="N211">IF(AND(SUMPRODUCT((IM!F2:F846=A211)*(ISNUMBER(SEARCH("STAR", IM!AC2:AC846))))&gt;0), "STAR", "")</f>
        <v/>
      </c>
      <c r="O211" s="302" t="str" cm="1">
        <f t="array" ref="O211">IFERROR(INDEX(IM!$X$2:$X$652, MATCH(1, (IM!$F$2:$F$652=A211) * (ISNUMBER(SEARCH($D$1, IM!$AC$2:$AC$652))), 0)), "")</f>
        <v/>
      </c>
      <c r="P211" s="196" t="str">
        <f t="shared" si="36"/>
        <v>-2154-北縣板莊店(定保)</v>
      </c>
      <c r="Q211" s="144"/>
      <c r="R211" s="144"/>
      <c r="S211" s="144"/>
      <c r="T211" s="144"/>
      <c r="U211" s="305">
        <f t="shared" si="37"/>
        <v>0</v>
      </c>
      <c r="V211" s="289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4">
        <v>3551</v>
      </c>
      <c r="B212" s="185" t="s">
        <v>201</v>
      </c>
      <c r="C212" s="186" t="str">
        <f>VLOOKUP($A212,'0919門市清單主檔'!B:V,20,FALSE)</f>
        <v>新北市</v>
      </c>
      <c r="D212" s="187" t="str">
        <f>VLOOKUP($A212,'0919門市清單主檔'!B:V,21,FALSE)</f>
        <v>板橋區</v>
      </c>
      <c r="E212" s="188" t="str">
        <f>VLOOKUP(D212,區域表!A:B,2,FALSE)</f>
        <v>狄澤洋</v>
      </c>
      <c r="F212" s="189" t="str">
        <f>IFERROR(IF(VLOOKUP(A212,門市狀態!A:D,4,FALSE)=0,"",VLOOKUP(A212,門市狀態!A:D,4,FALSE)),"")</f>
        <v/>
      </c>
      <c r="G212" s="190" t="s">
        <v>1749</v>
      </c>
      <c r="H212" s="191" t="str">
        <f t="shared" si="35"/>
        <v>-3551-北縣板豐店(定保)</v>
      </c>
      <c r="I212" s="195" t="s">
        <v>1749</v>
      </c>
      <c r="J212" s="193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5" t="str" cm="1">
        <f t="array" ref="L212">IF(K212&gt;0,IFERROR(HYPERLINK("#'IM'!AC"&amp;MATCH(1,(IM!$F$1:$F$7702=A212)*(ISNUMBER(SEARCH("PMQ2",IM!$AC$1:$AC$7702))),0),"檢核"),"未登錄"),"")</f>
        <v/>
      </c>
      <c r="M212" s="268" t="str" cm="1">
        <f t="array" ref="M212">IF(AND(SUMPRODUCT((IM!F2:F844=A212)*(ISNUMBER(SEARCH("EDC", IM!AC2:AC844))))&gt;0), "EDC", "")</f>
        <v/>
      </c>
      <c r="N212" s="311" t="str" cm="1">
        <f t="array" ref="N212">IF(AND(SUMPRODUCT((IM!F2:F844=A212)*(ISNUMBER(SEARCH("STAR", IM!AC2:AC844))))&gt;0), "STAR", "")</f>
        <v/>
      </c>
      <c r="O212" s="302" t="str" cm="1">
        <f t="array" ref="O212">IFERROR(INDEX(IM!$X$2:$X$652, MATCH(1, (IM!$F$2:$F$652=A212) * (ISNUMBER(SEARCH($D$1, IM!$AC$2:$AC$652))), 0)), "")</f>
        <v/>
      </c>
      <c r="P212" s="196" t="str">
        <f t="shared" si="36"/>
        <v>-3551-北縣板豐店(定保)</v>
      </c>
      <c r="Q212" s="144"/>
      <c r="R212" s="144"/>
      <c r="S212" s="144"/>
      <c r="T212" s="144"/>
      <c r="U212" s="305">
        <f t="shared" si="37"/>
        <v>2</v>
      </c>
      <c r="V212" s="289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4" t="s">
        <v>30</v>
      </c>
      <c r="B213" s="185" t="s">
        <v>641</v>
      </c>
      <c r="C213" s="186" t="str">
        <f>VLOOKUP($A213,'0919門市清單主檔'!B:V,20,FALSE)</f>
        <v>新北市</v>
      </c>
      <c r="D213" s="187" t="str">
        <f>VLOOKUP($A213,'0919門市清單主檔'!B:V,21,FALSE)</f>
        <v>板橋區</v>
      </c>
      <c r="E213" s="188" t="str">
        <f>VLOOKUP(D213,區域表!A:B,2,FALSE)</f>
        <v>狄澤洋</v>
      </c>
      <c r="F213" s="189" t="str">
        <f>IFERROR(IF(VLOOKUP(A213,門市狀態!A:D,4,FALSE)=0,"",VLOOKUP(A213,門市狀態!A:D,4,FALSE)),"")</f>
        <v/>
      </c>
      <c r="G213" s="190" t="s">
        <v>1749</v>
      </c>
      <c r="H213" s="191" t="str">
        <f t="shared" si="35"/>
        <v>-D111-北縣府中店(定保)</v>
      </c>
      <c r="I213" s="195" t="s">
        <v>1749</v>
      </c>
      <c r="J213" s="193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5" t="str" cm="1">
        <f t="array" ref="L213">IF(K213&gt;0,IFERROR(HYPERLINK("#'IM'!AC"&amp;MATCH(1,(IM!$F$1:$F$7702=A213)*(ISNUMBER(SEARCH("PMQ2",IM!$AC$1:$AC$7702))),0),"檢核"),"未登錄"),"")</f>
        <v/>
      </c>
      <c r="M213" s="268" t="str" cm="1">
        <f t="array" ref="M213">IF(AND(SUMPRODUCT((IM!F2:F854=A213)*(ISNUMBER(SEARCH("EDC", IM!AC2:AC854))))&gt;0), "EDC", "")</f>
        <v/>
      </c>
      <c r="N213" s="311" t="str" cm="1">
        <f t="array" ref="N213">IF(AND(SUMPRODUCT((IM!F2:F854=A213)*(ISNUMBER(SEARCH("STAR", IM!AC2:AC854))))&gt;0), "STAR", "")</f>
        <v/>
      </c>
      <c r="O213" s="302" t="str" cm="1">
        <f t="array" ref="O213">IFERROR(INDEX(IM!$X$2:$X$652, MATCH(1, (IM!$F$2:$F$652=A213) * (ISNUMBER(SEARCH($D$1, IM!$AC$2:$AC$652))), 0)), "")</f>
        <v/>
      </c>
      <c r="P213" s="196" t="str">
        <f t="shared" si="36"/>
        <v>-D111-北縣府中店(定保)</v>
      </c>
      <c r="Q213" s="144"/>
      <c r="R213" s="144"/>
      <c r="S213" s="144"/>
      <c r="T213" s="144"/>
      <c r="U213" s="305">
        <f t="shared" si="37"/>
        <v>2</v>
      </c>
      <c r="V213" s="289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4" t="s">
        <v>32</v>
      </c>
      <c r="B214" s="185" t="s">
        <v>648</v>
      </c>
      <c r="C214" s="186" t="str">
        <f>VLOOKUP($A214,'0919門市清單主檔'!B:V,20,FALSE)</f>
        <v>新北市</v>
      </c>
      <c r="D214" s="187" t="str">
        <f>VLOOKUP($A214,'0919門市清單主檔'!B:V,21,FALSE)</f>
        <v>板橋區</v>
      </c>
      <c r="E214" s="188" t="str">
        <f>VLOOKUP(D214,區域表!A:B,2,FALSE)</f>
        <v>狄澤洋</v>
      </c>
      <c r="F214" s="189" t="str">
        <f>IFERROR(IF(VLOOKUP(A214,門市狀態!A:D,4,FALSE)=0,"",VLOOKUP(A214,門市狀態!A:D,4,FALSE)),"")</f>
        <v/>
      </c>
      <c r="G214" s="190" t="s">
        <v>1749</v>
      </c>
      <c r="H214" s="191" t="str">
        <f t="shared" si="35"/>
        <v>-D349-板橋成都店(定保)</v>
      </c>
      <c r="I214" s="195" t="s">
        <v>1749</v>
      </c>
      <c r="J214" s="193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5" t="str" cm="1">
        <f t="array" ref="L214">IF(K214&gt;0,IFERROR(HYPERLINK("#'IM'!AC"&amp;MATCH(1,(IM!$F$1:$F$7702=A214)*(ISNUMBER(SEARCH("PMQ2",IM!$AC$1:$AC$7702))),0),"檢核"),"未登錄"),"")</f>
        <v/>
      </c>
      <c r="M214" s="268" t="str" cm="1">
        <f t="array" ref="M214">IF(AND(SUMPRODUCT((IM!F2:F852=A214)*(ISNUMBER(SEARCH("EDC", IM!AC2:AC852))))&gt;0), "EDC", "")</f>
        <v/>
      </c>
      <c r="N214" s="311" t="str" cm="1">
        <f t="array" ref="N214">IF(AND(SUMPRODUCT((IM!F2:F852=A214)*(ISNUMBER(SEARCH("STAR", IM!AC2:AC852))))&gt;0), "STAR", "")</f>
        <v/>
      </c>
      <c r="O214" s="302" t="str" cm="1">
        <f t="array" ref="O214">IFERROR(INDEX(IM!$X$2:$X$652, MATCH(1, (IM!$F$2:$F$652=A214) * (ISNUMBER(SEARCH($D$1, IM!$AC$2:$AC$652))), 0)), "")</f>
        <v/>
      </c>
      <c r="P214" s="196" t="str">
        <f t="shared" si="36"/>
        <v>-D349-板橋成都店(定保)</v>
      </c>
      <c r="Q214" s="144"/>
      <c r="R214" s="144"/>
      <c r="S214" s="144"/>
      <c r="T214" s="144"/>
      <c r="U214" s="305">
        <f t="shared" si="37"/>
        <v>0</v>
      </c>
      <c r="V214" s="289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4">
        <v>3416</v>
      </c>
      <c r="B215" s="185" t="s">
        <v>4050</v>
      </c>
      <c r="C215" s="186" t="str">
        <f>VLOOKUP($A215,'0919門市清單主檔'!B:V,20,FALSE)</f>
        <v>新北市</v>
      </c>
      <c r="D215" s="187" t="str">
        <f>VLOOKUP($A215,'0919門市清單主檔'!B:V,21,FALSE)</f>
        <v>板橋區</v>
      </c>
      <c r="E215" s="188" t="str">
        <f>VLOOKUP(D215,區域表!A:B,2,FALSE)</f>
        <v>狄澤洋</v>
      </c>
      <c r="F215" s="189" t="str">
        <f>IFERROR(IF(VLOOKUP(A215,門市狀態!A:D,4,FALSE)=0,"",VLOOKUP(A215,門市狀態!A:D,4,FALSE)),"")</f>
        <v/>
      </c>
      <c r="G215" s="190" t="s">
        <v>1749</v>
      </c>
      <c r="H215" s="191" t="str">
        <f t="shared" si="35"/>
        <v>-3416-板橋國慶店(定保)</v>
      </c>
      <c r="I215" s="195" t="s">
        <v>1749</v>
      </c>
      <c r="J215" s="193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5" t="str" cm="1">
        <f t="array" ref="L215">IF(K215&gt;0,IFERROR(HYPERLINK("#'IM'!AC"&amp;MATCH(1,(IM!$F$1:$F$7702=A215)*(ISNUMBER(SEARCH("PMQ2",IM!$AC$1:$AC$7702))),0),"檢核"),"未登錄"),"")</f>
        <v/>
      </c>
      <c r="M215" s="268" t="str" cm="1">
        <f t="array" ref="M215">IF(AND(SUMPRODUCT((IM!F2:F851=A215)*(ISNUMBER(SEARCH("EDC", IM!AC2:AC851))))&gt;0), "EDC", "")</f>
        <v/>
      </c>
      <c r="N215" s="311" t="str" cm="1">
        <f t="array" ref="N215">IF(AND(SUMPRODUCT((IM!F2:F851=A215)*(ISNUMBER(SEARCH("STAR", IM!AC2:AC851))))&gt;0), "STAR", "")</f>
        <v/>
      </c>
      <c r="O215" s="302" t="str" cm="1">
        <f t="array" ref="O215">IFERROR(INDEX(IM!$X$2:$X$652, MATCH(1, (IM!$F$2:$F$652=A215) * (ISNUMBER(SEARCH($D$1, IM!$AC$2:$AC$652))), 0)), "")</f>
        <v/>
      </c>
      <c r="P215" s="196" t="str">
        <f t="shared" si="36"/>
        <v>-3416-板橋國慶店(定保)</v>
      </c>
      <c r="Q215" s="144"/>
      <c r="R215" s="144"/>
      <c r="S215" s="144"/>
      <c r="T215" s="144"/>
      <c r="U215" s="305">
        <f t="shared" si="37"/>
        <v>2</v>
      </c>
      <c r="V215" s="289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4">
        <v>3752</v>
      </c>
      <c r="B216" s="185" t="s">
        <v>4054</v>
      </c>
      <c r="C216" s="186" t="str">
        <f>VLOOKUP($A216,'0919門市清單主檔'!B:V,20,FALSE)</f>
        <v>新北市</v>
      </c>
      <c r="D216" s="187" t="str">
        <f>VLOOKUP($A216,'0919門市清單主檔'!B:V,21,FALSE)</f>
        <v>板橋區</v>
      </c>
      <c r="E216" s="188" t="str">
        <f>VLOOKUP(D216,區域表!A:B,2,FALSE)</f>
        <v>狄澤洋</v>
      </c>
      <c r="F216" s="189" t="str">
        <f>IFERROR(IF(VLOOKUP(A216,門市狀態!A:D,4,FALSE)=0,"",VLOOKUP(A216,門市狀態!A:D,4,FALSE)),"")</f>
        <v/>
      </c>
      <c r="G216" s="190" t="s">
        <v>4089</v>
      </c>
      <c r="H216" s="191" t="str">
        <f t="shared" si="35"/>
        <v>-3752-板橋豫章店(定保)</v>
      </c>
      <c r="I216" s="195" t="s">
        <v>1749</v>
      </c>
      <c r="J216" s="193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5" t="str" cm="1">
        <f t="array" ref="L216">IF(K216&gt;0,IFERROR(HYPERLINK("#'IM'!AC"&amp;MATCH(1,(IM!$F$1:$F$7702=A216)*(ISNUMBER(SEARCH("PMQ2",IM!$AC$1:$AC$7702))),0),"檢核"),"未登錄"),"")</f>
        <v/>
      </c>
      <c r="M216" s="268" t="str" cm="1">
        <f t="array" ref="M216">IF(AND(SUMPRODUCT((IM!F2:F850=A216)*(ISNUMBER(SEARCH("EDC", IM!AC2:AC850))))&gt;0), "EDC", "")</f>
        <v/>
      </c>
      <c r="N216" s="311" t="str" cm="1">
        <f t="array" ref="N216">IF(AND(SUMPRODUCT((IM!F2:F850=A216)*(ISNUMBER(SEARCH("STAR", IM!AC2:AC850))))&gt;0), "STAR", "")</f>
        <v/>
      </c>
      <c r="O216" s="302" t="str" cm="1">
        <f t="array" ref="O216">IFERROR(INDEX(IM!$X$2:$X$652, MATCH(1, (IM!$F$2:$F$652=A216) * (ISNUMBER(SEARCH($D$1, IM!$AC$2:$AC$652))), 0)), "")</f>
        <v/>
      </c>
      <c r="P216" s="196" t="str">
        <f t="shared" si="36"/>
        <v>-3752-板橋豫章店(定保)</v>
      </c>
      <c r="Q216" s="144"/>
      <c r="R216" s="144"/>
      <c r="S216" s="144"/>
      <c r="T216" s="144"/>
      <c r="U216" s="305">
        <f t="shared" si="37"/>
        <v>2</v>
      </c>
      <c r="V216" s="289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4">
        <v>4917</v>
      </c>
      <c r="B217" s="185" t="s">
        <v>562</v>
      </c>
      <c r="C217" s="186" t="str">
        <f>VLOOKUP($A217,'0919門市清單主檔'!B:V,20,FALSE)</f>
        <v>新北市</v>
      </c>
      <c r="D217" s="187" t="str">
        <f>VLOOKUP($A217,'0919門市清單主檔'!B:V,21,FALSE)</f>
        <v>板橋區</v>
      </c>
      <c r="E217" s="188" t="str">
        <f>VLOOKUP(D217,區域表!A:B,2,FALSE)</f>
        <v>狄澤洋</v>
      </c>
      <c r="F217" s="189" t="str">
        <f>IFERROR(IF(VLOOKUP(A217,門市狀態!A:D,4,FALSE)=0,"",VLOOKUP(A217,門市狀態!A:D,4,FALSE)),"")</f>
        <v/>
      </c>
      <c r="G217" s="190" t="s">
        <v>1749</v>
      </c>
      <c r="H217" s="191" t="str">
        <f t="shared" si="35"/>
        <v>-4917-板橋翠華店(定保)</v>
      </c>
      <c r="I217" s="195" t="s">
        <v>1749</v>
      </c>
      <c r="J217" s="193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5" t="str" cm="1">
        <f t="array" ref="L217">IF(K217&gt;0,IFERROR(HYPERLINK("#'IM'!AC"&amp;MATCH(1,(IM!$F$1:$F$7702=A217)*(ISNUMBER(SEARCH("PMQ2",IM!$AC$1:$AC$7702))),0),"檢核"),"未登錄"),"")</f>
        <v/>
      </c>
      <c r="M217" s="268" t="str" cm="1">
        <f t="array" ref="M217">IF(AND(SUMPRODUCT((IM!F2:F845=A217)*(ISNUMBER(SEARCH("EDC", IM!AC2:AC845))))&gt;0), "EDC", "")</f>
        <v/>
      </c>
      <c r="N217" s="311" t="str" cm="1">
        <f t="array" ref="N217">IF(AND(SUMPRODUCT((IM!F2:F845=A217)*(ISNUMBER(SEARCH("STAR", IM!AC2:AC845))))&gt;0), "STAR", "")</f>
        <v/>
      </c>
      <c r="O217" s="302" t="str" cm="1">
        <f t="array" ref="O217">IFERROR(INDEX(IM!$X$2:$X$652, MATCH(1, (IM!$F$2:$F$652=A217) * (ISNUMBER(SEARCH($D$1, IM!$AC$2:$AC$652))), 0)), "")</f>
        <v/>
      </c>
      <c r="P217" s="196" t="str">
        <f t="shared" si="36"/>
        <v>-4917-板橋翠華店(定保)</v>
      </c>
      <c r="Q217" s="144"/>
      <c r="R217" s="144"/>
      <c r="S217" s="144"/>
      <c r="T217" s="144"/>
      <c r="U217" s="305">
        <f t="shared" si="37"/>
        <v>1</v>
      </c>
      <c r="V217" s="289" t="str">
        <f t="shared" si="38"/>
        <v>未到店</v>
      </c>
      <c r="W217" s="316"/>
      <c r="X217" s="317" t="s">
        <v>4397</v>
      </c>
      <c r="Y217" s="5" t="str">
        <f t="shared" si="34"/>
        <v>STAR</v>
      </c>
    </row>
    <row r="218" spans="1:25" ht="15.75" customHeight="1">
      <c r="A218" s="184" t="s">
        <v>35</v>
      </c>
      <c r="B218" s="185" t="s">
        <v>722</v>
      </c>
      <c r="C218" s="186" t="str">
        <f>VLOOKUP($A218,'0919門市清單主檔'!B:V,20,FALSE)</f>
        <v>新北市</v>
      </c>
      <c r="D218" s="187" t="str">
        <f>VLOOKUP($A218,'0919門市清單主檔'!B:V,21,FALSE)</f>
        <v>板橋區</v>
      </c>
      <c r="E218" s="188" t="str">
        <f>VLOOKUP(D218,區域表!A:B,2,FALSE)</f>
        <v>狄澤洋</v>
      </c>
      <c r="F218" s="189" t="str">
        <f>IFERROR(IF(VLOOKUP(A218,門市狀態!A:D,4,FALSE)=0,"",VLOOKUP(A218,門市狀態!A:D,4,FALSE)),"")</f>
        <v/>
      </c>
      <c r="G218" s="190" t="s">
        <v>1750</v>
      </c>
      <c r="H218" s="191" t="str">
        <f t="shared" si="35"/>
        <v>-L501-車麗屋板橋店(定保)</v>
      </c>
      <c r="I218" s="195" t="s">
        <v>1749</v>
      </c>
      <c r="J218" s="193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5" t="str" cm="1">
        <f t="array" ref="L218">IF(K218&gt;0,IFERROR(HYPERLINK("#'IM'!AC"&amp;MATCH(1,(IM!$F$1:$F$7702=A218)*(ISNUMBER(SEARCH("PMQ2",IM!$AC$1:$AC$7702))),0),"檢核"),"未登錄"),"")</f>
        <v/>
      </c>
      <c r="M218" s="268" t="str" cm="1">
        <f t="array" ref="M218">IF(AND(SUMPRODUCT((IM!F2:F853=A218)*(ISNUMBER(SEARCH("EDC", IM!AC2:AC853))))&gt;0), "EDC", "")</f>
        <v/>
      </c>
      <c r="N218" s="311" t="str" cm="1">
        <f t="array" ref="N218">IF(AND(SUMPRODUCT((IM!F2:F853=A218)*(ISNUMBER(SEARCH("STAR", IM!AC2:AC853))))&gt;0), "STAR", "")</f>
        <v/>
      </c>
      <c r="O218" s="302" t="str" cm="1">
        <f t="array" ref="O218">IFERROR(INDEX(IM!$X$2:$X$652, MATCH(1, (IM!$F$2:$F$652=A218) * (ISNUMBER(SEARCH($D$1, IM!$AC$2:$AC$652))), 0)), "")</f>
        <v/>
      </c>
      <c r="P218" s="196" t="str">
        <f t="shared" si="36"/>
        <v>-L501-車麗屋板橋店(定保)</v>
      </c>
      <c r="Q218" s="144"/>
      <c r="R218" s="144"/>
      <c r="S218" s="144"/>
      <c r="T218" s="144"/>
      <c r="U218" s="305">
        <f t="shared" si="37"/>
        <v>0</v>
      </c>
      <c r="V218" s="289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4">
        <v>4422</v>
      </c>
      <c r="B219" s="185" t="s">
        <v>398</v>
      </c>
      <c r="C219" s="186" t="str">
        <f>VLOOKUP($A219,'0919門市清單主檔'!B:V,20,FALSE)</f>
        <v>新北市</v>
      </c>
      <c r="D219" s="187" t="str">
        <f>VLOOKUP($A219,'0919門市清單主檔'!B:V,21,FALSE)</f>
        <v>板橋區</v>
      </c>
      <c r="E219" s="188" t="str">
        <f>VLOOKUP(D219,區域表!A:B,2,FALSE)</f>
        <v>狄澤洋</v>
      </c>
      <c r="F219" s="189" t="str">
        <f>IFERROR(IF(VLOOKUP(A219,門市狀態!A:D,4,FALSE)=0,"",VLOOKUP(A219,門市狀態!A:D,4,FALSE)),"")</f>
        <v/>
      </c>
      <c r="G219" s="190" t="s">
        <v>1749</v>
      </c>
      <c r="H219" s="191" t="str">
        <f t="shared" si="35"/>
        <v>-4422-板橋合安店(定保)</v>
      </c>
      <c r="I219" s="204" t="s">
        <v>1749</v>
      </c>
      <c r="J219" s="299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5" t="str" cm="1">
        <f t="array" ref="L219">IF(K219&gt;0,IFERROR(HYPERLINK("#'IM'!AC"&amp;MATCH(1,(IM!$F$1:$F$7702=A219)*(ISNUMBER(SEARCH("PMQ2",IM!$AC$1:$AC$7702))),0),"檢核"),"未登錄"),"")</f>
        <v/>
      </c>
      <c r="M219" s="268" t="str" cm="1">
        <f t="array" ref="M219">IF(AND(SUMPRODUCT((IM!F2:F848=A219)*(ISNUMBER(SEARCH("EDC", IM!AC2:AC848))))&gt;0), "EDC", "")</f>
        <v/>
      </c>
      <c r="N219" s="311" t="str" cm="1">
        <f t="array" ref="N219">IF(AND(SUMPRODUCT((IM!F2:F848=A219)*(ISNUMBER(SEARCH("STAR", IM!AC2:AC848))))&gt;0), "STAR", "")</f>
        <v/>
      </c>
      <c r="O219" s="302" t="str" cm="1">
        <f t="array" ref="O219">IFERROR(INDEX(IM!$X$2:$X$652, MATCH(1, (IM!$F$2:$F$652=A219) * (ISNUMBER(SEARCH($D$1, IM!$AC$2:$AC$652))), 0)), "")</f>
        <v/>
      </c>
      <c r="P219" s="196" t="str">
        <f t="shared" si="36"/>
        <v>-4422-板橋合安店(定保)</v>
      </c>
      <c r="Q219" s="144"/>
      <c r="R219" s="144"/>
      <c r="S219" s="144"/>
      <c r="T219" s="144"/>
      <c r="U219" s="305">
        <f t="shared" si="37"/>
        <v>0</v>
      </c>
      <c r="V219" s="289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4">
        <v>2422</v>
      </c>
      <c r="B220" s="185" t="s">
        <v>103</v>
      </c>
      <c r="C220" s="186" t="str">
        <f>VLOOKUP($A220,'0919門市清單主檔'!B:V,20,FALSE)</f>
        <v>新北市</v>
      </c>
      <c r="D220" s="187" t="str">
        <f>VLOOKUP($A220,'0919門市清單主檔'!B:V,21,FALSE)</f>
        <v>板橋區</v>
      </c>
      <c r="E220" s="188" t="str">
        <f>VLOOKUP(D220,區域表!A:B,2,FALSE)</f>
        <v>狄澤洋</v>
      </c>
      <c r="F220" s="189" t="str">
        <f>IFERROR(IF(VLOOKUP(A220,門市狀態!A:D,4,FALSE)=0,"",VLOOKUP(A220,門市狀態!A:D,4,FALSE)),"")</f>
        <v/>
      </c>
      <c r="G220" s="190" t="s">
        <v>1749</v>
      </c>
      <c r="H220" s="191" t="str">
        <f t="shared" si="35"/>
        <v>-2422-北縣板億店(定保)</v>
      </c>
      <c r="I220" s="204" t="s">
        <v>1749</v>
      </c>
      <c r="J220" s="299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5" t="str" cm="1">
        <f t="array" ref="L220">IF(K220&gt;0,IFERROR(HYPERLINK("#'IM'!AC"&amp;MATCH(1,(IM!$F$1:$F$7702=A220)*(ISNUMBER(SEARCH("PMQ2",IM!$AC$1:$AC$7702))),0),"檢核"),"未登錄"),"")</f>
        <v/>
      </c>
      <c r="M220" s="268" t="str" cm="1">
        <f t="array" ref="M220">IF(AND(SUMPRODUCT((IM!F2:F849=A220)*(ISNUMBER(SEARCH("EDC", IM!AC2:AC849))))&gt;0), "EDC", "")</f>
        <v/>
      </c>
      <c r="N220" s="311" t="str" cm="1">
        <f t="array" ref="N220">IF(AND(SUMPRODUCT((IM!F2:F849=A220)*(ISNUMBER(SEARCH("STAR", IM!AC2:AC849))))&gt;0), "STAR", "")</f>
        <v/>
      </c>
      <c r="O220" s="302" t="str" cm="1">
        <f t="array" ref="O220">IFERROR(INDEX(IM!$X$2:$X$652, MATCH(1, (IM!$F$2:$F$652=A220) * (ISNUMBER(SEARCH($D$1, IM!$AC$2:$AC$652))), 0)), "")</f>
        <v/>
      </c>
      <c r="P220" s="196" t="str">
        <f t="shared" si="36"/>
        <v>-2422-北縣板億店(定保)</v>
      </c>
      <c r="Q220" s="144"/>
      <c r="R220" s="144"/>
      <c r="S220" s="144"/>
      <c r="T220" s="144"/>
      <c r="U220" s="305">
        <f t="shared" si="37"/>
        <v>2</v>
      </c>
      <c r="V220" s="289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200">
        <v>2535</v>
      </c>
      <c r="B221" s="185" t="s">
        <v>110</v>
      </c>
      <c r="C221" s="201" t="str">
        <f>VLOOKUP($A221,'0919門市清單主檔'!B:V,20,FALSE)</f>
        <v>新北市</v>
      </c>
      <c r="D221" s="202" t="str">
        <f>VLOOKUP($A221,'0919門市清單主檔'!B:V,21,FALSE)</f>
        <v>五股區</v>
      </c>
      <c r="E221" s="188" t="str">
        <f>VLOOKUP(D221,區域表!A:B,2,FALSE)</f>
        <v>湯家瑋</v>
      </c>
      <c r="F221" s="189" t="str">
        <f>IFERROR(IF(VLOOKUP(A221,門市狀態!A:D,4,FALSE)=0,"",VLOOKUP(A221,門市狀態!A:D,4,FALSE)),"")</f>
        <v/>
      </c>
      <c r="G221" s="203" t="s">
        <v>1749</v>
      </c>
      <c r="H221" s="191" t="str">
        <f t="shared" si="35"/>
        <v>-2535-五股五工店(定保)</v>
      </c>
      <c r="I221" s="204" t="s">
        <v>1749</v>
      </c>
      <c r="J221" s="299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5" t="str" cm="1">
        <f t="array" ref="L221">IF(K221&gt;0,IFERROR(HYPERLINK("#'IM'!AC"&amp;MATCH(1,(IM!$F$1:$F$7702=A221)*(ISNUMBER(SEARCH("PMQ2",IM!$AC$1:$AC$7702))),0),"檢核"),"未登錄"),"")</f>
        <v/>
      </c>
      <c r="M221" s="268" t="str" cm="1">
        <f t="array" ref="M221">IF(AND(SUMPRODUCT((IM!F2:F855=A221)*(ISNUMBER(SEARCH("EDC", IM!AC2:AC855))))&gt;0), "EDC", "")</f>
        <v/>
      </c>
      <c r="N221" s="311" t="str" cm="1">
        <f t="array" ref="N221">IF(AND(SUMPRODUCT((IM!F2:F855=A221)*(ISNUMBER(SEARCH("STAR", IM!AC2:AC855))))&gt;0), "STAR", "")</f>
        <v/>
      </c>
      <c r="O221" s="302" t="str" cm="1">
        <f t="array" ref="O221">IFERROR(INDEX(IM!$X$2:$X$652, MATCH(1, (IM!$F$2:$F$652=A221) * (ISNUMBER(SEARCH($D$1, IM!$AC$2:$AC$652))), 0)), "")</f>
        <v/>
      </c>
      <c r="P221" s="196" t="str">
        <f t="shared" si="36"/>
        <v>-2535-五股五工店(定保)</v>
      </c>
      <c r="Q221" s="144"/>
      <c r="R221" s="144"/>
      <c r="S221" s="144"/>
      <c r="T221" s="144"/>
      <c r="U221" s="305">
        <f t="shared" si="37"/>
        <v>1</v>
      </c>
      <c r="V221" s="289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8" t="s">
        <v>858</v>
      </c>
      <c r="B222" s="185" t="s">
        <v>859</v>
      </c>
      <c r="C222" s="205" t="str">
        <f>VLOOKUP($A222,'0919門市清單主檔'!B:V,20,FALSE)</f>
        <v>新北市</v>
      </c>
      <c r="D222" s="205" t="str">
        <f>VLOOKUP($A222,'0919門市清單主檔'!B:V,21,FALSE)</f>
        <v>五股區</v>
      </c>
      <c r="E222" s="188" t="str">
        <f>VLOOKUP(D222,區域表!A:B,2,FALSE)</f>
        <v>湯家瑋</v>
      </c>
      <c r="F222" s="189" t="str">
        <f>IFERROR(IF(VLOOKUP(A222,門市狀態!A:D,4,FALSE)=0,"",VLOOKUP(A222,門市狀態!A:D,4,FALSE)),"")</f>
        <v/>
      </c>
      <c r="G222" s="206" t="s">
        <v>851</v>
      </c>
      <c r="H222" s="191" t="str">
        <f t="shared" si="35"/>
        <v>-TT01-五股訓練教室(定保)</v>
      </c>
      <c r="I222" s="204" t="s">
        <v>1749</v>
      </c>
      <c r="J222" s="299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5" t="str" cm="1">
        <f t="array" ref="L222">IF(K222&gt;0,IFERROR(HYPERLINK("#'IM'!AC"&amp;MATCH(1,(IM!$F$1:$F$7702=A222)*(ISNUMBER(SEARCH("PMQ2",IM!$AC$1:$AC$7702))),0),"檢核"),"未登錄"),"")</f>
        <v/>
      </c>
      <c r="M222" s="268" t="str" cm="1">
        <f t="array" ref="M222">IF(AND(SUMPRODUCT((IM!F2:F856=A222)*(ISNUMBER(SEARCH("EDC", IM!AC2:AC856))))&gt;0), "EDC", "")</f>
        <v/>
      </c>
      <c r="N222" s="311" t="str" cm="1">
        <f t="array" ref="N222">IF(AND(SUMPRODUCT((IM!F2:F856=A222)*(ISNUMBER(SEARCH("STAR", IM!AC2:AC856))))&gt;0), "STAR", "")</f>
        <v/>
      </c>
      <c r="O222" s="302" t="str" cm="1">
        <f t="array" ref="O222">IFERROR(INDEX(IM!$X$2:$X$652, MATCH(1, (IM!$F$2:$F$652=A222) * (ISNUMBER(SEARCH($D$1, IM!$AC$2:$AC$652))), 0)), "")</f>
        <v/>
      </c>
      <c r="P222" s="196" t="str">
        <f t="shared" si="36"/>
        <v>-TT01-五股訓練教室(定保)</v>
      </c>
      <c r="Q222" s="298"/>
      <c r="R222" s="298"/>
      <c r="S222" s="298"/>
      <c r="T222" s="298"/>
      <c r="U222" s="305">
        <f t="shared" si="37"/>
        <v>1</v>
      </c>
      <c r="V222" s="289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8">
        <v>5316</v>
      </c>
      <c r="B223" s="185" t="s">
        <v>4469</v>
      </c>
      <c r="C223" s="205" t="str">
        <f>VLOOKUP($A223,'0919門市清單主檔'!B:V,20,FALSE)</f>
        <v>新北市</v>
      </c>
      <c r="D223" s="205" t="str">
        <f>VLOOKUP($A223,'0919門市清單主檔'!B:V,21,FALSE)</f>
        <v>三重區</v>
      </c>
      <c r="E223" s="188" t="str">
        <f>VLOOKUP(D223,區域表!A:B,2,FALSE)</f>
        <v>吳宗鴻</v>
      </c>
      <c r="F223" s="189" t="str">
        <f>IFERROR(IF(VLOOKUP(A223,門市狀態!A:D,4,FALSE)=0,"",VLOOKUP(A223,門市狀態!A:D,4,FALSE)),"")</f>
        <v/>
      </c>
      <c r="G223" s="206"/>
      <c r="H223" s="191" t="str">
        <f t="shared" si="35"/>
        <v>-5316-三重五常店(定保)</v>
      </c>
      <c r="I223" s="204" t="s">
        <v>1749</v>
      </c>
      <c r="J223" s="299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5" t="str" cm="1">
        <f t="array" ref="L223">IF(K223&gt;0,IFERROR(HYPERLINK("#'IM'!AC"&amp;MATCH(1,(IM!$F$1:$F$7702=A223)*(ISNUMBER(SEARCH("PMQ2",IM!$AC$1:$AC$7702))),0),"檢核"),"未登錄"),"")</f>
        <v/>
      </c>
      <c r="M223" s="268" t="str" cm="1">
        <f t="array" ref="M223">IF(AND(SUMPRODUCT((IM!F2:F860=A223)*(ISNUMBER(SEARCH("EDC", IM!AC2:AC860))))&gt;0), "EDC", "")</f>
        <v/>
      </c>
      <c r="N223" s="311" t="str" cm="1">
        <f t="array" ref="N223">IF(AND(SUMPRODUCT((IM!F2:F860=A223)*(ISNUMBER(SEARCH("STAR", IM!AC2:AC860))))&gt;0), "STAR", "")</f>
        <v/>
      </c>
      <c r="O223" s="303" t="str" cm="1">
        <f t="array" ref="O223">IFERROR(INDEX(IM!$X$2:$X$652, MATCH(1, (IM!$F$2:$F$652=A223) * (ISNUMBER(SEARCH($D$1, IM!$AC$2:$AC$652))), 0)), "")</f>
        <v/>
      </c>
      <c r="P223" s="293" t="str">
        <f t="shared" si="36"/>
        <v>-5316-三重五常店(定保)</v>
      </c>
      <c r="Q223" s="292"/>
      <c r="R223" s="292"/>
      <c r="S223" s="292"/>
      <c r="T223" s="292"/>
      <c r="U223" s="305">
        <f t="shared" si="37"/>
        <v>0</v>
      </c>
      <c r="V223" s="289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8">
        <v>5291</v>
      </c>
      <c r="B224" s="185" t="s">
        <v>4466</v>
      </c>
      <c r="C224" s="205" t="str">
        <f>VLOOKUP($A224,'0919門市清單主檔'!B:V,20,FALSE)</f>
        <v>新北市</v>
      </c>
      <c r="D224" s="205" t="str">
        <f>VLOOKUP($A224,'0919門市清單主檔'!B:V,21,FALSE)</f>
        <v>新莊區</v>
      </c>
      <c r="E224" s="188" t="str">
        <f>VLOOKUP(D224,區域表!A:B,2,FALSE)</f>
        <v>湯家瑋</v>
      </c>
      <c r="F224" s="189" t="str">
        <f>IFERROR(IF(VLOOKUP(A224,門市狀態!A:D,4,FALSE)=0,"",VLOOKUP(A224,門市狀態!A:D,4,FALSE)),"")</f>
        <v/>
      </c>
      <c r="G224" s="206"/>
      <c r="H224" s="191" t="str">
        <f t="shared" si="35"/>
        <v>-5291-新莊國家置地(定保)</v>
      </c>
      <c r="I224" s="207" t="s">
        <v>1749</v>
      </c>
      <c r="J224" s="300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6" t="str" cm="1">
        <f t="array" ref="L224">IF(K224&gt;0,IFERROR(HYPERLINK("#'IM'!AC"&amp;MATCH(1,(IM!$F$1:$F$7702=A224)*(ISNUMBER(SEARCH("PMQ2",IM!$AC$1:$AC$7702))),0),"檢核"),"未登錄"),"")</f>
        <v/>
      </c>
      <c r="M224" s="313" t="str" cm="1">
        <f t="array" ref="M224">IF(AND(SUMPRODUCT((IM!F2:F861=A224)*(ISNUMBER(SEARCH("EDC", IM!AC2:AC861))))&gt;0), "EDC", "")</f>
        <v/>
      </c>
      <c r="N224" s="312" t="str" cm="1">
        <f t="array" ref="N224">IF(AND(SUMPRODUCT((IM!F2:F861=A224)*(ISNUMBER(SEARCH("STAR", IM!AC2:AC861))))&gt;0), "STAR", "")</f>
        <v/>
      </c>
      <c r="O224" s="304" t="str" cm="1">
        <f t="array" ref="O224">IFERROR(INDEX(IM!$X$2:$X$652, MATCH(1, (IM!$F$2:$F$652=A224) * (ISNUMBER(SEARCH($D$1, IM!$AC$2:$AC$652))), 0)), "")</f>
        <v/>
      </c>
      <c r="P224" s="294" t="str">
        <f t="shared" si="36"/>
        <v>-5291-新莊國家置地(定保)</v>
      </c>
      <c r="Q224" s="295"/>
      <c r="R224" s="295"/>
      <c r="S224" s="295"/>
      <c r="T224" s="295"/>
      <c r="U224" s="306">
        <f t="shared" si="37"/>
        <v>0</v>
      </c>
      <c r="V224" s="289" t="str">
        <f t="shared" si="38"/>
        <v>未到店</v>
      </c>
      <c r="W224" s="339"/>
      <c r="X224" s="340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76" priority="40">
      <formula>F15="撤店"</formula>
    </cfRule>
  </conditionalFormatting>
  <conditionalFormatting sqref="K15:K25 K27:K222 K225:K303">
    <cfRule type="expression" dxfId="375" priority="39">
      <formula>K15&gt;2</formula>
    </cfRule>
  </conditionalFormatting>
  <conditionalFormatting sqref="I225:I303">
    <cfRule type="expression" dxfId="374" priority="33">
      <formula>AND(I225&lt;&gt;"", OR(M225="", O225=""))</formula>
    </cfRule>
    <cfRule type="expression" dxfId="373" priority="35">
      <formula>AND(K225&gt;0, ISBLANK(I225))</formula>
    </cfRule>
  </conditionalFormatting>
  <conditionalFormatting sqref="M225:M1048576">
    <cfRule type="expression" dxfId="372" priority="31">
      <formula>VLOOKUP(A225,#REF!,9,FALSE)="異常"</formula>
    </cfRule>
  </conditionalFormatting>
  <conditionalFormatting sqref="A220">
    <cfRule type="expression" dxfId="371" priority="28">
      <formula>F220="撤店"</formula>
    </cfRule>
  </conditionalFormatting>
  <conditionalFormatting sqref="I15:I25 I221:I222 I27:I219">
    <cfRule type="expression" dxfId="370" priority="373">
      <formula>AND(I15&lt;&gt;"", OR(#REF!="", M15=""))</formula>
    </cfRule>
    <cfRule type="expression" dxfId="369" priority="374">
      <formula>AND(K15&gt;0, ISBLANK(I15))</formula>
    </cfRule>
  </conditionalFormatting>
  <conditionalFormatting sqref="I220">
    <cfRule type="expression" dxfId="368" priority="377">
      <formula>AND(I220&lt;&gt;"", OR(#REF!="", M220=""))</formula>
    </cfRule>
    <cfRule type="expression" dxfId="367" priority="378">
      <formula>AND(K220&gt;0, ISBLANK(I220))</formula>
    </cfRule>
  </conditionalFormatting>
  <conditionalFormatting sqref="A26">
    <cfRule type="expression" dxfId="366" priority="20">
      <formula>F26="撤店"</formula>
    </cfRule>
  </conditionalFormatting>
  <conditionalFormatting sqref="K26">
    <cfRule type="expression" dxfId="365" priority="19">
      <formula>K26&gt;2</formula>
    </cfRule>
  </conditionalFormatting>
  <conditionalFormatting sqref="I26">
    <cfRule type="expression" dxfId="364" priority="21">
      <formula>AND(I26&lt;&gt;"", OR(#REF!="", M26=""))</formula>
    </cfRule>
    <cfRule type="expression" dxfId="363" priority="22">
      <formula>AND(K26&gt;0, ISBLANK(I26))</formula>
    </cfRule>
  </conditionalFormatting>
  <conditionalFormatting sqref="V15:V224">
    <cfRule type="expression" dxfId="362" priority="16">
      <formula>V15="完工"</formula>
    </cfRule>
    <cfRule type="expression" dxfId="361" priority="17">
      <formula>V15="異常"</formula>
    </cfRule>
  </conditionalFormatting>
  <conditionalFormatting sqref="A224">
    <cfRule type="expression" dxfId="360" priority="15">
      <formula>F224="撤店"</formula>
    </cfRule>
  </conditionalFormatting>
  <conditionalFormatting sqref="K224">
    <cfRule type="expression" dxfId="359" priority="14">
      <formula>K224&gt;2</formula>
    </cfRule>
  </conditionalFormatting>
  <conditionalFormatting sqref="I224">
    <cfRule type="expression" dxfId="358" priority="379">
      <formula>AND(I224&lt;&gt;"", OR(#REF!="", M224=""))</formula>
    </cfRule>
    <cfRule type="expression" dxfId="357" priority="379">
      <formula>AND(K224&gt;0, ISBLANK(I224))</formula>
    </cfRule>
  </conditionalFormatting>
  <conditionalFormatting sqref="A223">
    <cfRule type="expression" dxfId="356" priority="6">
      <formula>F223="撤店"</formula>
    </cfRule>
  </conditionalFormatting>
  <conditionalFormatting sqref="K223">
    <cfRule type="expression" dxfId="355" priority="5">
      <formula>K223&gt;2</formula>
    </cfRule>
  </conditionalFormatting>
  <conditionalFormatting sqref="O15:O224">
    <cfRule type="expression" dxfId="35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5050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41" t="s">
        <v>5059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4" t="s">
        <v>5052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5056</v>
      </c>
      <c r="W3" s="31" t="s">
        <v>5057</v>
      </c>
      <c r="X3" s="251">
        <v>45743.524305555555</v>
      </c>
      <c r="Y3" s="31"/>
      <c r="Z3" s="31">
        <v>0.8</v>
      </c>
      <c r="AA3" s="31"/>
      <c r="AB3" s="31" t="s">
        <v>1727</v>
      </c>
      <c r="AC3" s="33" t="s">
        <v>5058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5072</v>
      </c>
      <c r="C4" s="28">
        <v>2025033603</v>
      </c>
      <c r="D4" s="28" t="s">
        <v>5073</v>
      </c>
      <c r="E4" s="28" t="s">
        <v>5074</v>
      </c>
      <c r="F4" s="28">
        <v>5291</v>
      </c>
      <c r="G4" s="28" t="s">
        <v>5075</v>
      </c>
      <c r="H4" s="28" t="s">
        <v>1755</v>
      </c>
      <c r="I4" s="28" t="s">
        <v>5076</v>
      </c>
      <c r="J4" s="28" t="s">
        <v>5077</v>
      </c>
      <c r="K4" s="28" t="s">
        <v>5078</v>
      </c>
      <c r="L4" s="28" t="s">
        <v>5079</v>
      </c>
      <c r="M4" s="29" t="s">
        <v>4064</v>
      </c>
      <c r="N4" s="28">
        <v>2501</v>
      </c>
      <c r="O4" s="29" t="s">
        <v>5080</v>
      </c>
      <c r="P4" s="30" t="s">
        <v>5081</v>
      </c>
      <c r="Q4" s="28" t="s">
        <v>5082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5083</v>
      </c>
      <c r="W4" s="28" t="s">
        <v>5084</v>
      </c>
      <c r="X4" s="141">
        <v>45748.40625</v>
      </c>
      <c r="Y4" s="28" t="s">
        <v>5085</v>
      </c>
      <c r="Z4" s="28">
        <v>0.5</v>
      </c>
      <c r="AA4" s="28"/>
      <c r="AB4" s="28" t="s">
        <v>1727</v>
      </c>
      <c r="AC4" s="30" t="s">
        <v>5086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5087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5088</v>
      </c>
      <c r="W5" s="31" t="s">
        <v>5089</v>
      </c>
      <c r="X5" s="251">
        <v>45748.488888888889</v>
      </c>
      <c r="Y5" s="31"/>
      <c r="Z5" s="31">
        <v>1.1000000000000001</v>
      </c>
      <c r="AA5" s="31"/>
      <c r="AB5" s="31" t="s">
        <v>1727</v>
      </c>
      <c r="AC5" s="33" t="s">
        <v>5090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5091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5092</v>
      </c>
      <c r="W6" s="28" t="s">
        <v>5093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5090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5094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5095</v>
      </c>
      <c r="W7" s="31" t="s">
        <v>5096</v>
      </c>
      <c r="X7" s="251">
        <v>45748.603472222225</v>
      </c>
      <c r="Y7" s="31"/>
      <c r="Z7" s="31">
        <v>0.3</v>
      </c>
      <c r="AA7" s="31"/>
      <c r="AB7" s="31" t="s">
        <v>1727</v>
      </c>
      <c r="AC7" s="32" t="s">
        <v>5090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5097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5098</v>
      </c>
      <c r="W8" s="28" t="s">
        <v>5099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5090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5100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5101</v>
      </c>
      <c r="W9" s="31" t="s">
        <v>5102</v>
      </c>
      <c r="X9" s="251">
        <v>45749.465277777781</v>
      </c>
      <c r="Y9" s="31"/>
      <c r="Z9" s="31">
        <v>1.2</v>
      </c>
      <c r="AA9" s="31"/>
      <c r="AB9" s="31" t="s">
        <v>1727</v>
      </c>
      <c r="AC9" s="33" t="s">
        <v>5090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5072</v>
      </c>
      <c r="C10" s="28">
        <v>2025040423</v>
      </c>
      <c r="D10" s="28" t="s">
        <v>5103</v>
      </c>
      <c r="E10" s="28" t="s">
        <v>5074</v>
      </c>
      <c r="F10" s="28">
        <v>4241</v>
      </c>
      <c r="G10" s="28" t="s">
        <v>1497</v>
      </c>
      <c r="H10" s="28" t="s">
        <v>1754</v>
      </c>
      <c r="I10" s="28" t="s">
        <v>5104</v>
      </c>
      <c r="J10" s="28" t="s">
        <v>5105</v>
      </c>
      <c r="K10" s="28" t="s">
        <v>5106</v>
      </c>
      <c r="L10" s="28" t="s">
        <v>5107</v>
      </c>
      <c r="M10" s="29" t="s">
        <v>1730</v>
      </c>
      <c r="N10" s="28">
        <v>2305</v>
      </c>
      <c r="O10" s="29" t="s">
        <v>5108</v>
      </c>
      <c r="P10" s="30" t="s">
        <v>5109</v>
      </c>
      <c r="Q10" s="28" t="s">
        <v>5097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5110</v>
      </c>
      <c r="W10" s="28" t="s">
        <v>5111</v>
      </c>
      <c r="X10" s="141">
        <v>45749.536111111112</v>
      </c>
      <c r="Y10" s="28" t="s">
        <v>5112</v>
      </c>
      <c r="Z10" s="28">
        <v>0.5</v>
      </c>
      <c r="AA10" s="28"/>
      <c r="AB10" s="28" t="s">
        <v>1727</v>
      </c>
      <c r="AC10" s="30" t="s">
        <v>5113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5114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5115</v>
      </c>
      <c r="W11" s="31" t="s">
        <v>5116</v>
      </c>
      <c r="X11" s="251">
        <v>45749.504861111112</v>
      </c>
      <c r="Y11" s="31"/>
      <c r="Z11" s="31">
        <v>0.8</v>
      </c>
      <c r="AA11" s="31"/>
      <c r="AB11" s="31" t="s">
        <v>1727</v>
      </c>
      <c r="AC11" s="33" t="s">
        <v>5090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5117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5118</v>
      </c>
      <c r="W12" s="28" t="s">
        <v>5119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5090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5120</v>
      </c>
      <c r="W13" s="31" t="s">
        <v>5121</v>
      </c>
      <c r="X13" s="251">
        <v>45749.659722222219</v>
      </c>
      <c r="Y13" s="31"/>
      <c r="Z13" s="31">
        <v>0.6</v>
      </c>
      <c r="AA13" s="31"/>
      <c r="AB13" s="31" t="s">
        <v>1727</v>
      </c>
      <c r="AC13" s="33" t="s">
        <v>5090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5122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5123</v>
      </c>
      <c r="W14" s="28" t="s">
        <v>5124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5090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5125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5126</v>
      </c>
      <c r="W15" s="31" t="s">
        <v>5127</v>
      </c>
      <c r="X15" s="251">
        <v>45749.6875</v>
      </c>
      <c r="Y15" s="31"/>
      <c r="Z15" s="31">
        <v>0.5</v>
      </c>
      <c r="AA15" s="31"/>
      <c r="AB15" s="31" t="s">
        <v>1727</v>
      </c>
      <c r="AC15" s="32" t="s">
        <v>5090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5072</v>
      </c>
      <c r="C16" s="31">
        <v>2025040598</v>
      </c>
      <c r="D16" s="31" t="s">
        <v>5134</v>
      </c>
      <c r="E16" s="31" t="s">
        <v>5074</v>
      </c>
      <c r="F16" s="31">
        <v>4762</v>
      </c>
      <c r="G16" s="31" t="s">
        <v>518</v>
      </c>
      <c r="H16" s="31" t="s">
        <v>1755</v>
      </c>
      <c r="I16" s="31" t="s">
        <v>5135</v>
      </c>
      <c r="J16" s="31" t="s">
        <v>5136</v>
      </c>
      <c r="K16" s="31" t="s">
        <v>5106</v>
      </c>
      <c r="L16" s="31" t="s">
        <v>5107</v>
      </c>
      <c r="M16" s="32" t="s">
        <v>1730</v>
      </c>
      <c r="N16" s="31">
        <v>2304</v>
      </c>
      <c r="O16" s="32" t="s">
        <v>5137</v>
      </c>
      <c r="P16" s="33" t="s">
        <v>5138</v>
      </c>
      <c r="Q16" s="31" t="s">
        <v>5139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5140</v>
      </c>
      <c r="W16" s="31" t="s">
        <v>5141</v>
      </c>
      <c r="X16" s="251">
        <v>45754.5625</v>
      </c>
      <c r="Y16" s="31" t="s">
        <v>5143</v>
      </c>
      <c r="Z16" s="31">
        <v>0.5</v>
      </c>
      <c r="AA16" s="31"/>
      <c r="AB16" s="31" t="s">
        <v>1727</v>
      </c>
      <c r="AC16" s="33" t="s">
        <v>5144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5145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5146</v>
      </c>
      <c r="W17" s="28" t="s">
        <v>5147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5090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5139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5148</v>
      </c>
      <c r="W18" s="31" t="s">
        <v>5142</v>
      </c>
      <c r="X18" s="251">
        <v>45754.583333333336</v>
      </c>
      <c r="Y18" s="31"/>
      <c r="Z18" s="31">
        <v>0.5</v>
      </c>
      <c r="AA18" s="31"/>
      <c r="AB18" s="31" t="s">
        <v>1727</v>
      </c>
      <c r="AC18" s="32" t="s">
        <v>5149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9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51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6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7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7" width="11.8984375" style="216" customWidth="1"/>
    <col min="8" max="8" width="11.5" style="216" bestFit="1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7.69921875" style="216" hidden="1" customWidth="1"/>
    <col min="18" max="18" width="18.3984375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4122</v>
      </c>
      <c r="B1" s="209" t="s">
        <v>49</v>
      </c>
      <c r="C1" s="210">
        <f>COUNTA(I8:I200)</f>
        <v>117</v>
      </c>
      <c r="D1" s="211"/>
      <c r="E1" s="211"/>
      <c r="F1" s="212"/>
      <c r="G1" s="211"/>
      <c r="H1" s="209" t="s">
        <v>4462</v>
      </c>
      <c r="I1" s="287">
        <f>COUNTIFS(門市主檔!E:E,A1,門市主檔!Y:Y,"STAR")</f>
        <v>93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39</v>
      </c>
      <c r="D2" s="220">
        <v>39</v>
      </c>
      <c r="E2" s="220">
        <v>38</v>
      </c>
      <c r="F2" s="221">
        <f t="shared" ref="F2:F4" si="0">SUM(C2:E2)</f>
        <v>116</v>
      </c>
      <c r="G2" s="240"/>
      <c r="H2" s="285" t="s">
        <v>4459</v>
      </c>
      <c r="I2" s="219">
        <f>COUNTIF(G:G,"已更換")</f>
        <v>8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32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COUNTIF(C$8:C$181,"v")</f>
        <v>7</v>
      </c>
      <c r="D4" s="226">
        <f>COUNTIF(D$8:D$181,"v")</f>
        <v>0</v>
      </c>
      <c r="E4" s="226">
        <f>COUNTIF(E$8:E$181,"v")</f>
        <v>0</v>
      </c>
      <c r="F4" s="221">
        <f t="shared" si="0"/>
        <v>7</v>
      </c>
      <c r="G4" s="240"/>
      <c r="H4" s="285" t="s">
        <v>4461</v>
      </c>
      <c r="I4" s="288">
        <f>I2/I1</f>
        <v>8.6021505376344093E-2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32</v>
      </c>
      <c r="D5" s="228">
        <f>MAX(C2+D2-C4-D4,0)</f>
        <v>71</v>
      </c>
      <c r="E5" s="228">
        <f>MAX(C2+D2+E2-C4-D4-E4,0)</f>
        <v>109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329" t="s">
        <v>53</v>
      </c>
      <c r="C6" s="330">
        <f>C4/C2</f>
        <v>0.17948717948717949</v>
      </c>
      <c r="D6" s="331">
        <f>D4/(D2+D3)</f>
        <v>0</v>
      </c>
      <c r="E6" s="331">
        <f>E4/(E2+E3)</f>
        <v>0</v>
      </c>
      <c r="F6" s="332">
        <f>COUNTIFS(F8:F181,"未保養",J8:J181,"&lt;&gt;不保養")</f>
        <v>110</v>
      </c>
      <c r="G6" s="332"/>
      <c r="H6" s="332"/>
      <c r="I6" s="333" t="s">
        <v>5070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5067</v>
      </c>
      <c r="D7" s="235" t="s">
        <v>5068</v>
      </c>
      <c r="E7" s="235" t="s">
        <v>5069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36"/>
      <c r="L7" s="236"/>
      <c r="M7" s="236"/>
      <c r="N7" s="236"/>
      <c r="O7" s="236"/>
      <c r="P7" s="215"/>
      <c r="Q7" s="215"/>
    </row>
    <row r="8" spans="1:19" ht="19.5" customHeight="1">
      <c r="A8" s="237">
        <v>3458</v>
      </c>
      <c r="B8" s="237" t="str">
        <f>VLOOKUP(A8,門市主檔!A:B,2,FALSE)</f>
        <v>八里龍米店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39" si="1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八里區</v>
      </c>
      <c r="J8" s="249">
        <v>45699.676388888889</v>
      </c>
      <c r="K8" s="215"/>
      <c r="L8" s="215"/>
      <c r="M8" s="215"/>
      <c r="N8" s="215"/>
      <c r="O8" s="215"/>
      <c r="P8" s="215" t="s">
        <v>55</v>
      </c>
      <c r="Q8" s="215"/>
    </row>
    <row r="9" spans="1:19" ht="19.5" customHeight="1">
      <c r="A9" s="237">
        <v>4243</v>
      </c>
      <c r="B9" s="237" t="str">
        <f>VLOOKUP(A9,門市主檔!A:B,2,FALSE)</f>
        <v>八里聖心店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1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2</v>
      </c>
      <c r="I9" s="237" t="str">
        <f>VLOOKUP(A9,'0919門市清單主檔'!B:V,21,FALSE)</f>
        <v>八里區</v>
      </c>
      <c r="J9" s="249">
        <v>45699.638194444444</v>
      </c>
      <c r="K9" s="215"/>
      <c r="L9" s="215"/>
      <c r="M9" s="215"/>
      <c r="N9" s="215"/>
      <c r="O9" s="215"/>
      <c r="P9" s="215" t="s">
        <v>55</v>
      </c>
      <c r="Q9" s="215"/>
    </row>
    <row r="10" spans="1:19" ht="19.5" customHeight="1">
      <c r="A10" s="237">
        <v>5074</v>
      </c>
      <c r="B10" s="237" t="str">
        <f>VLOOKUP(A10,門市主檔!A:B,2,FALSE)</f>
        <v>八里福德新村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1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八里區</v>
      </c>
      <c r="J10" s="249">
        <v>45671.634722222225</v>
      </c>
      <c r="K10" s="215"/>
      <c r="L10" s="215"/>
      <c r="M10" s="215"/>
      <c r="N10" s="215"/>
      <c r="O10" s="215"/>
      <c r="P10" s="215" t="s">
        <v>55</v>
      </c>
      <c r="Q10" s="215"/>
    </row>
    <row r="11" spans="1:19" ht="19.5" customHeight="1">
      <c r="A11" s="237">
        <v>4259</v>
      </c>
      <c r="B11" s="237" t="str">
        <f>VLOOKUP(A11,門市主檔!A:B,2,FALSE)</f>
        <v>八里水灣店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1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2</v>
      </c>
      <c r="I11" s="237" t="str">
        <f>VLOOKUP(A11,'0919門市清單主檔'!B:V,21,FALSE)</f>
        <v>八里區</v>
      </c>
      <c r="J11" s="249">
        <v>45671.511805555558</v>
      </c>
      <c r="K11" s="215"/>
      <c r="L11" s="215"/>
      <c r="M11" s="215"/>
      <c r="N11" s="215"/>
      <c r="O11" s="215"/>
      <c r="P11" s="215" t="s">
        <v>55</v>
      </c>
      <c r="Q11" s="215"/>
    </row>
    <row r="12" spans="1:19" ht="19.5" customHeight="1">
      <c r="A12" s="237">
        <v>4528</v>
      </c>
      <c r="B12" s="237" t="str">
        <f>VLOOKUP(A12,門市主檔!A:B,2,FALSE)</f>
        <v>八里鐵塔店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1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八里區</v>
      </c>
      <c r="J12" s="249">
        <v>45671.463888888888</v>
      </c>
      <c r="K12" s="215"/>
      <c r="L12" s="215"/>
      <c r="M12" s="215"/>
      <c r="N12" s="215"/>
      <c r="O12" s="215"/>
      <c r="P12" s="215" t="s">
        <v>55</v>
      </c>
      <c r="Q12" s="215"/>
    </row>
    <row r="13" spans="1:19" ht="19.5" customHeight="1">
      <c r="A13" s="237">
        <v>2306</v>
      </c>
      <c r="B13" s="237" t="str">
        <f>VLOOKUP(A13,門市主檔!A:B,2,FALSE)</f>
        <v>八里凱旋門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1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2</v>
      </c>
      <c r="I13" s="237" t="str">
        <f>VLOOKUP(A13,'0919門市清單主檔'!B:V,21,FALSE)</f>
        <v>八里區</v>
      </c>
      <c r="J13" s="249">
        <v>45671.541666666664</v>
      </c>
      <c r="K13" s="215"/>
      <c r="L13" s="215"/>
      <c r="M13" s="215"/>
      <c r="N13" s="215"/>
      <c r="O13" s="215"/>
      <c r="P13" s="215" t="s">
        <v>55</v>
      </c>
      <c r="Q13" s="215"/>
    </row>
    <row r="14" spans="1:19" ht="19.5" customHeight="1">
      <c r="A14" s="237">
        <v>2442</v>
      </c>
      <c r="B14" s="237" t="str">
        <f>VLOOKUP(A14,門市主檔!A:B,2,FALSE)</f>
        <v>北縣商港店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1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八里區</v>
      </c>
      <c r="J14" s="249">
        <v>45671.590277777781</v>
      </c>
      <c r="K14" s="215"/>
      <c r="L14" s="215"/>
      <c r="M14" s="215"/>
      <c r="N14" s="215"/>
      <c r="O14" s="215"/>
      <c r="P14" s="215" t="s">
        <v>55</v>
      </c>
      <c r="Q14" s="215"/>
    </row>
    <row r="15" spans="1:19" ht="19.5" customHeight="1">
      <c r="A15" s="237">
        <v>4764</v>
      </c>
      <c r="B15" s="237" t="str">
        <f>VLOOKUP(A15,門市主檔!A:B,2,FALSE)</f>
        <v>八里大船店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1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八里區</v>
      </c>
      <c r="J15" s="249">
        <v>45671.572222222225</v>
      </c>
      <c r="K15" s="215"/>
      <c r="L15" s="215"/>
      <c r="M15" s="215"/>
      <c r="N15" s="215"/>
      <c r="O15" s="215"/>
      <c r="P15" s="215" t="s">
        <v>55</v>
      </c>
      <c r="Q15" s="215"/>
    </row>
    <row r="16" spans="1:19" ht="19.5" customHeight="1">
      <c r="A16" s="237">
        <v>5080</v>
      </c>
      <c r="B16" s="237" t="str">
        <f>VLOOKUP(A16,門市主檔!A:B,2,FALSE)</f>
        <v>三芝楓愛林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1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三芝區</v>
      </c>
      <c r="J16" s="249">
        <v>45727.629166666666</v>
      </c>
      <c r="K16" s="238"/>
      <c r="L16" s="238"/>
      <c r="M16" s="238"/>
      <c r="N16" s="238"/>
      <c r="O16" s="238"/>
      <c r="P16" s="215" t="s">
        <v>55</v>
      </c>
      <c r="Q16" s="245" t="s">
        <v>4120</v>
      </c>
    </row>
    <row r="17" spans="1:17" ht="19.5" customHeight="1">
      <c r="A17" s="237">
        <v>2237</v>
      </c>
      <c r="B17" s="237" t="str">
        <f>VLOOKUP(A17,門市主檔!A:B,2,FALSE)</f>
        <v>北縣芝蘭店</v>
      </c>
      <c r="C17" s="359" t="str">
        <f>IF(COUNTIFS(IM!$F:$F,A17,IM!$AD:$AD,"O",IM!$X:$X,"&gt;="&amp;$R$1, IM!$X:$X,"&lt;="&amp;$S$1)&gt;0,"V","")</f>
        <v/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1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未更換</v>
      </c>
      <c r="H17" s="343">
        <f>VLOOKUP(A17,門市主檔!A:U,21,FALSE)</f>
        <v>2</v>
      </c>
      <c r="I17" s="237" t="str">
        <f>VLOOKUP(A17,'0919門市清單主檔'!B:V,21,FALSE)</f>
        <v>三芝區</v>
      </c>
      <c r="J17" s="249">
        <v>45692.638194444444</v>
      </c>
      <c r="K17" s="238"/>
      <c r="L17" s="238"/>
      <c r="M17" s="238"/>
      <c r="N17" s="238"/>
      <c r="O17" s="238"/>
      <c r="P17" s="215" t="s">
        <v>55</v>
      </c>
      <c r="Q17" s="245" t="s">
        <v>4120</v>
      </c>
    </row>
    <row r="18" spans="1:17" ht="19.5" customHeight="1">
      <c r="A18" s="237">
        <v>4844</v>
      </c>
      <c r="B18" s="237" t="str">
        <f>VLOOKUP(A18,門市主檔!A:B,2,FALSE)</f>
        <v>三芝天涯店</v>
      </c>
      <c r="C18" s="359" t="str">
        <f>IF(COUNTIFS(IM!$F:$F,A18,IM!$AD:$AD,"O",IM!$X:$X,"&gt;="&amp;$R$1, IM!$X:$X,"&lt;="&amp;$S$1)&gt;0,"V","")</f>
        <v/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1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無專案</v>
      </c>
      <c r="H18" s="343">
        <f>VLOOKUP(A18,門市主檔!A:U,21,FALSE)</f>
        <v>0</v>
      </c>
      <c r="I18" s="237" t="str">
        <f>VLOOKUP(A18,'0919門市清單主檔'!B:V,21,FALSE)</f>
        <v>三芝區</v>
      </c>
      <c r="J18" s="249">
        <v>45692.668749999997</v>
      </c>
      <c r="K18" s="238"/>
      <c r="L18" s="238"/>
      <c r="M18" s="238"/>
      <c r="N18" s="238"/>
      <c r="O18" s="238"/>
      <c r="P18" s="215" t="s">
        <v>55</v>
      </c>
      <c r="Q18" s="245" t="s">
        <v>4120</v>
      </c>
    </row>
    <row r="19" spans="1:17" ht="19.5" customHeight="1">
      <c r="A19" s="237">
        <v>5316</v>
      </c>
      <c r="B19" s="237" t="str">
        <f>VLOOKUP(A19,門市主檔!A:B,2,FALSE)</f>
        <v>三重五常店</v>
      </c>
      <c r="C19" s="359" t="str">
        <f>IF(COUNTIFS(IM!$F:$F,A19,IM!$AD:$AD,"O",IM!$X:$X,"&gt;="&amp;$R$1, IM!$X:$X,"&lt;="&amp;$S$1)&gt;0,"V","")</f>
        <v/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1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無專案</v>
      </c>
      <c r="H19" s="343">
        <f>VLOOKUP(A19,門市主檔!A:U,21,FALSE)</f>
        <v>0</v>
      </c>
      <c r="I19" s="237" t="str">
        <f>VLOOKUP(A19,'0919門市清單主檔'!B:V,21,FALSE)</f>
        <v>三重區</v>
      </c>
      <c r="J19" s="250" t="s">
        <v>5065</v>
      </c>
      <c r="K19" s="238"/>
      <c r="L19" s="238"/>
      <c r="M19" s="238"/>
      <c r="N19" s="238"/>
      <c r="O19" s="238"/>
      <c r="P19" s="215" t="s">
        <v>55</v>
      </c>
      <c r="Q19" s="245" t="s">
        <v>4120</v>
      </c>
    </row>
    <row r="20" spans="1:17" ht="19.5" customHeight="1">
      <c r="A20" s="237" t="s">
        <v>21</v>
      </c>
      <c r="B20" s="237" t="str">
        <f>VLOOKUP(A20,門市主檔!A:B,2,FALSE)</f>
        <v>北縣溪尾二店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1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三重區</v>
      </c>
      <c r="J20" s="249">
        <v>45708.584722222222</v>
      </c>
      <c r="K20" s="238"/>
      <c r="L20" s="238"/>
      <c r="M20" s="238"/>
      <c r="N20" s="238"/>
      <c r="O20" s="238"/>
      <c r="P20" s="215" t="s">
        <v>55</v>
      </c>
      <c r="Q20" s="245" t="s">
        <v>4120</v>
      </c>
    </row>
    <row r="21" spans="1:17" ht="19.5" customHeight="1">
      <c r="A21" s="237">
        <v>3796</v>
      </c>
      <c r="B21" s="237" t="str">
        <f>VLOOKUP(A21,門市主檔!A:B,2,FALSE)</f>
        <v>三重進安店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1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2</v>
      </c>
      <c r="I21" s="237" t="str">
        <f>VLOOKUP(A21,'0919門市清單主檔'!B:V,21,FALSE)</f>
        <v>三重區</v>
      </c>
      <c r="J21" s="249">
        <v>45719.634722222225</v>
      </c>
      <c r="K21" s="238"/>
      <c r="L21" s="238"/>
      <c r="M21" s="238"/>
      <c r="N21" s="238"/>
      <c r="O21" s="238"/>
      <c r="P21" s="215" t="s">
        <v>55</v>
      </c>
      <c r="Q21" s="245" t="s">
        <v>4120</v>
      </c>
    </row>
    <row r="22" spans="1:17" ht="19.5" customHeight="1">
      <c r="A22" s="237">
        <v>4241</v>
      </c>
      <c r="B22" s="237" t="str">
        <f>VLOOKUP(A22,門市主檔!A:B,2,FALSE)</f>
        <v>三重仁義店</v>
      </c>
      <c r="C22" s="359" t="str">
        <f>IF(COUNTIFS(IM!$F:$F,A22,IM!$AD:$AD,"O",IM!$X:$X,"&gt;="&amp;$R$1, IM!$X:$X,"&lt;="&amp;$S$1)&gt;0,"V","")</f>
        <v>V</v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1"/>
        <v/>
      </c>
      <c r="G22" s="237" t="str">
        <f>IF(AND(VLOOKUP(A22,門市主檔!A:Y,25,FALSE)="STAR", VLOOKUP(A22,門市主檔!A:N,14,FALSE)=""), "未更換", IF(VLOOKUP(A22,門市主檔!A:Y,25,FALSE)&lt;&gt;"STAR", "無專案", "已更換"))</f>
        <v>已更換</v>
      </c>
      <c r="H22" s="343">
        <f>VLOOKUP(A22,門市主檔!A:U,21,FALSE)</f>
        <v>2</v>
      </c>
      <c r="I22" s="237" t="str">
        <f>VLOOKUP(A22,'0919門市清單主檔'!B:V,21,FALSE)</f>
        <v>三重區</v>
      </c>
      <c r="J22" s="249">
        <v>45719.606944444444</v>
      </c>
      <c r="K22" s="215"/>
      <c r="L22" s="215"/>
      <c r="M22" s="215"/>
      <c r="N22" s="215"/>
      <c r="O22" s="215"/>
      <c r="P22" s="215" t="s">
        <v>55</v>
      </c>
      <c r="Q22" s="245" t="s">
        <v>4120</v>
      </c>
    </row>
    <row r="23" spans="1:17" ht="19.5" customHeight="1">
      <c r="A23" s="237">
        <v>4352</v>
      </c>
      <c r="B23" s="237" t="str">
        <f>VLOOKUP(A23,門市主檔!A:B,2,FALSE)</f>
        <v>三重公園店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1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三重區</v>
      </c>
      <c r="J23" s="249">
        <v>45719.584027777775</v>
      </c>
      <c r="K23" s="215"/>
      <c r="L23" s="215"/>
      <c r="M23" s="215"/>
      <c r="N23" s="215"/>
      <c r="O23" s="215"/>
      <c r="P23" s="215" t="s">
        <v>55</v>
      </c>
      <c r="Q23" s="245" t="s">
        <v>4120</v>
      </c>
    </row>
    <row r="24" spans="1:17" ht="19.5" customHeight="1">
      <c r="A24" s="237">
        <v>3601</v>
      </c>
      <c r="B24" s="237" t="str">
        <f>VLOOKUP(A24,門市主檔!A:B,2,FALSE)</f>
        <v>北縣重富店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1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三重區</v>
      </c>
      <c r="J24" s="249">
        <v>45719.445833333331</v>
      </c>
      <c r="K24" s="238"/>
      <c r="L24" s="238"/>
      <c r="M24" s="238"/>
      <c r="N24" s="238"/>
      <c r="O24" s="238"/>
      <c r="P24" s="215"/>
      <c r="Q24" s="245" t="s">
        <v>4120</v>
      </c>
    </row>
    <row r="25" spans="1:17" ht="19.5" customHeight="1">
      <c r="A25" s="237">
        <v>3811</v>
      </c>
      <c r="B25" s="237" t="str">
        <f>VLOOKUP(A25,門市主檔!A:B,2,FALSE)</f>
        <v>三重碧華公園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1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三重區</v>
      </c>
      <c r="J25" s="249">
        <v>45720.579861111109</v>
      </c>
      <c r="K25" s="238"/>
      <c r="L25" s="238"/>
      <c r="M25" s="238"/>
      <c r="N25" s="238"/>
      <c r="O25" s="238"/>
      <c r="P25" s="215"/>
      <c r="Q25" s="245" t="s">
        <v>4120</v>
      </c>
    </row>
    <row r="26" spans="1:17" ht="19.5" customHeight="1">
      <c r="A26" s="237">
        <v>3840</v>
      </c>
      <c r="B26" s="237" t="str">
        <f>VLOOKUP(A26,門市主檔!A:B,2,FALSE)</f>
        <v>北縣天龍店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1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三重區</v>
      </c>
      <c r="J26" s="249">
        <v>45719.486805555556</v>
      </c>
      <c r="K26" s="238"/>
      <c r="L26" s="238"/>
      <c r="M26" s="238"/>
      <c r="N26" s="238"/>
      <c r="O26" s="238"/>
      <c r="P26" s="215"/>
      <c r="Q26" s="245" t="s">
        <v>4120</v>
      </c>
    </row>
    <row r="27" spans="1:17" ht="19.5" customHeight="1">
      <c r="A27" s="237" t="s">
        <v>26</v>
      </c>
      <c r="B27" s="237" t="str">
        <f>VLOOKUP(A27,門市主檔!A:B,2,FALSE)</f>
        <v>北縣五華三店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1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三重區</v>
      </c>
      <c r="J27" s="249">
        <v>45708.65902777778</v>
      </c>
      <c r="K27" s="238"/>
      <c r="L27" s="238"/>
      <c r="M27" s="238"/>
      <c r="N27" s="238"/>
      <c r="O27" s="238"/>
      <c r="P27" s="215"/>
      <c r="Q27" s="245" t="s">
        <v>4120</v>
      </c>
    </row>
    <row r="28" spans="1:17" ht="19.5" customHeight="1">
      <c r="A28" s="237">
        <v>2222</v>
      </c>
      <c r="B28" s="237" t="str">
        <f>VLOOKUP(A28,門市主檔!A:B,2,FALSE)</f>
        <v>三重義天店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1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三重區</v>
      </c>
      <c r="J28" s="249">
        <v>45715.615277777775</v>
      </c>
      <c r="K28" s="238"/>
      <c r="L28" s="238"/>
      <c r="M28" s="238"/>
      <c r="N28" s="238"/>
      <c r="O28" s="238"/>
      <c r="P28" s="215" t="s">
        <v>55</v>
      </c>
      <c r="Q28" s="245" t="s">
        <v>4120</v>
      </c>
    </row>
    <row r="29" spans="1:17" ht="19.5" customHeight="1">
      <c r="A29" s="237" t="s">
        <v>37</v>
      </c>
      <c r="B29" s="237" t="str">
        <f>VLOOKUP(A29,門市主檔!A:B,2,FALSE)</f>
        <v>北縣仁和店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1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三重區</v>
      </c>
      <c r="J29" s="249">
        <v>45720.618055555555</v>
      </c>
      <c r="K29" s="238"/>
      <c r="L29" s="238"/>
      <c r="M29" s="238"/>
      <c r="N29" s="238"/>
      <c r="O29" s="238"/>
      <c r="P29" s="215" t="s">
        <v>55</v>
      </c>
      <c r="Q29" s="245" t="s">
        <v>4120</v>
      </c>
    </row>
    <row r="30" spans="1:17" ht="19.5" customHeight="1">
      <c r="A30" s="237">
        <v>4098</v>
      </c>
      <c r="B30" s="237" t="str">
        <f>VLOOKUP(A30,門市主檔!A:B,2,FALSE)</f>
        <v>三重仁美店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1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1</v>
      </c>
      <c r="I30" s="237" t="str">
        <f>VLOOKUP(A30,'0919門市清單主檔'!B:V,21,FALSE)</f>
        <v>三重區</v>
      </c>
      <c r="J30" s="249">
        <v>45720.493055555555</v>
      </c>
      <c r="K30" s="238"/>
      <c r="L30" s="238"/>
      <c r="M30" s="238"/>
      <c r="N30" s="238"/>
      <c r="O30" s="238"/>
      <c r="P30" s="215" t="s">
        <v>55</v>
      </c>
      <c r="Q30" s="245" t="s">
        <v>4120</v>
      </c>
    </row>
    <row r="31" spans="1:17" ht="19.5" customHeight="1">
      <c r="A31" s="237">
        <v>3772</v>
      </c>
      <c r="B31" s="237" t="str">
        <f>VLOOKUP(A31,門市主檔!A:B,2,FALSE)</f>
        <v>三重美溪店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1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無專案</v>
      </c>
      <c r="H31" s="343">
        <f>VLOOKUP(A31,門市主檔!A:U,21,FALSE)</f>
        <v>0</v>
      </c>
      <c r="I31" s="237" t="str">
        <f>VLOOKUP(A31,'0919門市清單主檔'!B:V,21,FALSE)</f>
        <v>三重區</v>
      </c>
      <c r="J31" s="249">
        <v>45715.642361111109</v>
      </c>
      <c r="K31" s="238"/>
      <c r="L31" s="238"/>
      <c r="M31" s="238"/>
      <c r="N31" s="238"/>
      <c r="O31" s="238"/>
      <c r="P31" s="215" t="s">
        <v>55</v>
      </c>
      <c r="Q31" s="245" t="s">
        <v>4120</v>
      </c>
    </row>
    <row r="32" spans="1:17" ht="19.5" customHeight="1">
      <c r="A32" s="237">
        <v>4560</v>
      </c>
      <c r="B32" s="237" t="str">
        <f>VLOOKUP(A32,門市主檔!A:B,2,FALSE)</f>
        <v>三重大院店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1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三重區</v>
      </c>
      <c r="J32" s="249">
        <v>45702.59375</v>
      </c>
      <c r="K32" s="238"/>
      <c r="L32" s="238"/>
      <c r="M32" s="238"/>
      <c r="N32" s="238"/>
      <c r="O32" s="238"/>
      <c r="P32" s="215" t="s">
        <v>55</v>
      </c>
      <c r="Q32" s="245" t="s">
        <v>4120</v>
      </c>
    </row>
    <row r="33" spans="1:17" ht="19.5" customHeight="1">
      <c r="A33" s="237">
        <v>2303</v>
      </c>
      <c r="B33" s="237" t="str">
        <f>VLOOKUP(A33,門市主檔!A:B,2,FALSE)</f>
        <v>三重三和夜市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1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三重區</v>
      </c>
      <c r="J33" s="249">
        <v>45720.458333333336</v>
      </c>
      <c r="K33" s="238"/>
      <c r="L33" s="238"/>
      <c r="M33" s="238"/>
      <c r="N33" s="238"/>
      <c r="O33" s="238"/>
      <c r="P33" s="215" t="s">
        <v>55</v>
      </c>
      <c r="Q33" s="245" t="s">
        <v>4120</v>
      </c>
    </row>
    <row r="34" spans="1:17" ht="19.5" customHeight="1">
      <c r="A34" s="237">
        <v>4029</v>
      </c>
      <c r="B34" s="237" t="str">
        <f>VLOOKUP(A34,門市主檔!A:B,2,FALSE)</f>
        <v>三重龍濱店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1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三重區</v>
      </c>
      <c r="J34" s="249">
        <v>45702.5</v>
      </c>
      <c r="K34" s="238"/>
      <c r="L34" s="238"/>
      <c r="M34" s="238"/>
      <c r="N34" s="238"/>
      <c r="O34" s="238"/>
      <c r="P34" s="215" t="s">
        <v>55</v>
      </c>
      <c r="Q34" s="245" t="s">
        <v>4120</v>
      </c>
    </row>
    <row r="35" spans="1:17" ht="19.5" customHeight="1">
      <c r="A35" s="237">
        <v>3623</v>
      </c>
      <c r="B35" s="237" t="str">
        <f>VLOOKUP(A35,門市主檔!A:B,2,FALSE)</f>
        <v>三重自強店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1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三重區</v>
      </c>
      <c r="J35" s="249">
        <v>45702.64166666667</v>
      </c>
      <c r="K35" s="238"/>
      <c r="L35" s="238"/>
      <c r="M35" s="238"/>
      <c r="N35" s="238"/>
      <c r="O35" s="238"/>
      <c r="P35" s="215" t="s">
        <v>55</v>
      </c>
      <c r="Q35" s="245" t="s">
        <v>4120</v>
      </c>
    </row>
    <row r="36" spans="1:17" ht="19.5" customHeight="1">
      <c r="A36" s="237">
        <v>3741</v>
      </c>
      <c r="B36" s="237" t="str">
        <f>VLOOKUP(A36,門市主檔!A:B,2,FALSE)</f>
        <v>三重重新三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1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三重區</v>
      </c>
      <c r="J36" s="249">
        <v>45701.539583333331</v>
      </c>
      <c r="K36" s="238"/>
      <c r="L36" s="238"/>
      <c r="M36" s="238"/>
      <c r="N36" s="238"/>
      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<c r="B37" s="237" t="str">
        <f>VLOOKUP(A37,門市主檔!A:B,2,FALSE)</f>
        <v>三重正義北店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1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1</v>
      </c>
      <c r="I37" s="237" t="str">
        <f>VLOOKUP(A37,'0919門市清單主檔'!B:V,21,FALSE)</f>
        <v>三重區</v>
      </c>
      <c r="J37" s="249">
        <v>45702.479861111111</v>
      </c>
      <c r="K37" s="238"/>
      <c r="L37" s="238"/>
      <c r="M37" s="238"/>
      <c r="N37" s="238"/>
      <c r="O37" s="238"/>
      <c r="P37" s="215" t="s">
        <v>55</v>
      </c>
      <c r="Q37" s="245" t="s">
        <v>4120</v>
      </c>
    </row>
    <row r="38" spans="1:17" ht="19.5" customHeight="1">
      <c r="A38" s="237">
        <v>3957</v>
      </c>
      <c r="B38" s="237" t="str">
        <f>VLOOKUP(A38,門市主檔!A:B,2,FALSE)</f>
        <v>三重福仁店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1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三重區</v>
      </c>
      <c r="J38" s="249">
        <v>45720.640972222223</v>
      </c>
      <c r="K38" s="238"/>
      <c r="L38" s="238"/>
      <c r="M38" s="238"/>
      <c r="N38" s="238"/>
      <c r="O38" s="238"/>
      <c r="P38" s="215" t="s">
        <v>55</v>
      </c>
      <c r="Q38" s="245" t="s">
        <v>4120</v>
      </c>
    </row>
    <row r="39" spans="1:17" ht="19.5" customHeight="1">
      <c r="A39" s="237" t="s">
        <v>27</v>
      </c>
      <c r="B39" s="237" t="str">
        <f>VLOOKUP(A39,門市主檔!A:B,2,FALSE)</f>
        <v>三重車路頭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1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1</v>
      </c>
      <c r="I39" s="237" t="str">
        <f>VLOOKUP(A39,'0919門市清單主檔'!B:V,21,FALSE)</f>
        <v>三重區</v>
      </c>
      <c r="J39" s="249">
        <v>45715.510416666664</v>
      </c>
      <c r="K39" s="238"/>
      <c r="L39" s="238"/>
      <c r="M39" s="238"/>
      <c r="N39" s="238"/>
      <c r="O39" s="238"/>
      <c r="P39" s="215" t="s">
        <v>55</v>
      </c>
      <c r="Q39" s="245" t="s">
        <v>4120</v>
      </c>
    </row>
    <row r="40" spans="1:17" ht="19.5" customHeight="1">
      <c r="A40" s="237">
        <v>4196</v>
      </c>
      <c r="B40" s="237" t="str">
        <f>VLOOKUP(A40,門市主檔!A:B,2,FALSE)</f>
        <v>三重蝶愛店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71" si="2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三重區</v>
      </c>
      <c r="J40" s="249">
        <v>45708.611805555556</v>
      </c>
      <c r="K40" s="238"/>
      <c r="L40" s="238"/>
      <c r="M40" s="238"/>
      <c r="N40" s="238"/>
      <c r="O40" s="238"/>
      <c r="P40" s="215" t="s">
        <v>55</v>
      </c>
      <c r="Q40" s="245" t="s">
        <v>4120</v>
      </c>
    </row>
    <row r="41" spans="1:17" ht="19.5" customHeight="1">
      <c r="A41" s="237" t="s">
        <v>39</v>
      </c>
      <c r="B41" s="237" t="str">
        <f>VLOOKUP(A41,門市主檔!A:B,2,FALSE)</f>
        <v>北縣三愛三店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三重區</v>
      </c>
      <c r="J41" s="249">
        <v>45719.661805555559</v>
      </c>
      <c r="K41" s="238"/>
      <c r="L41" s="238"/>
      <c r="M41" s="238"/>
      <c r="N41" s="238"/>
      <c r="O41" s="238"/>
      <c r="P41" s="215" t="s">
        <v>55</v>
      </c>
      <c r="Q41" s="245" t="s">
        <v>4120</v>
      </c>
    </row>
    <row r="42" spans="1:17" ht="19.5" customHeight="1">
      <c r="A42" s="237">
        <v>4210</v>
      </c>
      <c r="B42" s="237" t="str">
        <f>VLOOKUP(A42,門市主檔!A:B,2,FALSE)</f>
        <v>三重福華店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三重區</v>
      </c>
      <c r="J42" s="249">
        <v>45708.633333333331</v>
      </c>
      <c r="K42" s="238"/>
      <c r="L42" s="238"/>
      <c r="M42" s="238"/>
      <c r="N42" s="238"/>
      <c r="O42" s="238"/>
      <c r="P42" s="215" t="s">
        <v>55</v>
      </c>
      <c r="Q42" s="245" t="s">
        <v>4120</v>
      </c>
    </row>
    <row r="43" spans="1:17" ht="19.5" customHeight="1">
      <c r="A43" s="237">
        <v>4388</v>
      </c>
      <c r="B43" s="237" t="str">
        <f>VLOOKUP(A43,門市主檔!A:B,2,FALSE)</f>
        <v>三重薔薇店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2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三重區</v>
      </c>
      <c r="J43" s="249">
        <v>45702.684027777781</v>
      </c>
      <c r="K43" s="215"/>
      <c r="L43" s="215"/>
      <c r="M43" s="215"/>
      <c r="N43" s="215"/>
      <c r="O43" s="215"/>
      <c r="P43" s="215" t="s">
        <v>55</v>
      </c>
      <c r="Q43" s="245" t="s">
        <v>4120</v>
      </c>
    </row>
    <row r="44" spans="1:17" ht="19.5" customHeight="1">
      <c r="A44" s="237">
        <v>2042</v>
      </c>
      <c r="B44" s="237" t="str">
        <f>VLOOKUP(A44,門市主檔!A:B,2,FALSE)</f>
        <v>三重中央北店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2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未更換</v>
      </c>
      <c r="H44" s="343">
        <f>VLOOKUP(A44,門市主檔!A:U,21,FALSE)</f>
        <v>2</v>
      </c>
      <c r="I44" s="237" t="str">
        <f>VLOOKUP(A44,'0919門市清單主檔'!B:V,21,FALSE)</f>
        <v>三重區</v>
      </c>
      <c r="J44" s="249">
        <v>45701.588194444441</v>
      </c>
      <c r="K44" s="238"/>
      <c r="L44" s="238"/>
      <c r="M44" s="238"/>
      <c r="N44" s="238"/>
      <c r="O44" s="238"/>
      <c r="P44" s="215" t="s">
        <v>55</v>
      </c>
      <c r="Q44" s="245" t="s">
        <v>4120</v>
      </c>
    </row>
    <row r="45" spans="1:17" ht="19.5" customHeight="1">
      <c r="A45" s="237">
        <v>2302</v>
      </c>
      <c r="B45" s="237" t="str">
        <f>VLOOKUP(A45,門市主檔!A:B,2,FALSE)</f>
        <v>北縣重安店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2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三重區</v>
      </c>
      <c r="J45" s="249">
        <v>45721.49722222222</v>
      </c>
      <c r="K45" s="238"/>
      <c r="L45" s="238"/>
      <c r="M45" s="238"/>
      <c r="N45" s="238"/>
      <c r="O45" s="238"/>
      <c r="P45" s="215" t="s">
        <v>55</v>
      </c>
      <c r="Q45" s="245" t="s">
        <v>4120</v>
      </c>
    </row>
    <row r="46" spans="1:17" ht="19.5" customHeight="1">
      <c r="A46" s="237">
        <v>2349</v>
      </c>
      <c r="B46" s="237" t="str">
        <f>VLOOKUP(A46,門市主檔!A:B,2,FALSE)</f>
        <v>三重永福店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2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三重區</v>
      </c>
      <c r="J46" s="249">
        <v>45708.47152777778</v>
      </c>
      <c r="K46" s="238"/>
      <c r="L46" s="238"/>
      <c r="M46" s="238"/>
      <c r="N46" s="238"/>
      <c r="O46" s="238"/>
      <c r="P46" s="215"/>
      <c r="Q46" s="245" t="s">
        <v>4120</v>
      </c>
    </row>
    <row r="47" spans="1:17" ht="19.5" customHeight="1">
      <c r="A47" s="237">
        <v>2935</v>
      </c>
      <c r="B47" s="237" t="str">
        <f>VLOOKUP(A47,門市主檔!A:B,2,FALSE)</f>
        <v>三重夜市口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2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三重區</v>
      </c>
      <c r="J47" s="249">
        <v>45701.501388888886</v>
      </c>
      <c r="K47" s="238"/>
      <c r="L47" s="238"/>
      <c r="M47" s="238"/>
      <c r="N47" s="238"/>
      <c r="O47" s="238"/>
      <c r="P47" s="215"/>
      <c r="Q47" s="245" t="s">
        <v>4120</v>
      </c>
    </row>
    <row r="48" spans="1:17" ht="19.5" customHeight="1">
      <c r="A48" s="237" t="s">
        <v>28</v>
      </c>
      <c r="B48" s="237" t="str">
        <f>VLOOKUP(A48,門市主檔!A:B,2,FALSE)</f>
        <v>三重維德店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2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1</v>
      </c>
      <c r="I48" s="237" t="str">
        <f>VLOOKUP(A48,'0919門市清單主檔'!B:V,21,FALSE)</f>
        <v>三重區</v>
      </c>
      <c r="J48" s="249">
        <v>45719.701388888891</v>
      </c>
      <c r="K48" s="238"/>
      <c r="L48" s="238"/>
      <c r="M48" s="238"/>
      <c r="N48" s="238"/>
      <c r="O48" s="238"/>
      <c r="P48" s="215"/>
      <c r="Q48" s="245" t="s">
        <v>4120</v>
      </c>
    </row>
    <row r="49" spans="1:17" ht="19.5" customHeight="1">
      <c r="A49" s="237">
        <v>3890</v>
      </c>
      <c r="B49" s="237" t="str">
        <f>VLOOKUP(A49,門市主檔!A:B,2,FALSE)</f>
        <v>三重美堤店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2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未更換</v>
      </c>
      <c r="H49" s="343">
        <f>VLOOKUP(A49,門市主檔!A:U,21,FALSE)</f>
        <v>2</v>
      </c>
      <c r="I49" s="237" t="str">
        <f>VLOOKUP(A49,'0919門市清單主檔'!B:V,21,FALSE)</f>
        <v>三重區</v>
      </c>
      <c r="J49" s="249">
        <v>45660.463888888888</v>
      </c>
      <c r="K49" s="238"/>
      <c r="L49" s="238"/>
      <c r="M49" s="238"/>
      <c r="N49" s="238"/>
      <c r="O49" s="238"/>
      <c r="P49" s="215" t="s">
        <v>55</v>
      </c>
      <c r="Q49" s="245" t="s">
        <v>4120</v>
      </c>
    </row>
    <row r="50" spans="1:17" ht="19.5" customHeight="1">
      <c r="A50" s="237">
        <v>3362</v>
      </c>
      <c r="B50" s="237" t="str">
        <f>VLOOKUP(A50,門市主檔!A:B,2,FALSE)</f>
        <v>北縣重武店</v>
      </c>
      <c r="C50" s="359" t="str">
        <f>IF(COUNTIFS(IM!$F:$F,A50,IM!$AD:$AD,"O",IM!$X:$X,"&gt;="&amp;$R$1, IM!$X:$X,"&lt;="&amp;$S$1)&gt;0,"V","")</f>
        <v/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2"/>
        <v>未保養</v>
      </c>
      <c r="G50" s="237" t="str">
        <f>IF(AND(VLOOKUP(A50,門市主檔!A:Y,25,FALSE)="STAR", VLOOKUP(A50,門市主檔!A:N,14,FALSE)=""), "未更換", IF(VLOOKUP(A50,門市主檔!A:Y,25,FALSE)&lt;&gt;"STAR", "無專案", "已更換"))</f>
        <v>未更換</v>
      </c>
      <c r="H50" s="343">
        <f>VLOOKUP(A50,門市主檔!A:U,21,FALSE)</f>
        <v>1</v>
      </c>
      <c r="I50" s="237" t="str">
        <f>VLOOKUP(A50,'0919門市清單主檔'!B:V,21,FALSE)</f>
        <v>三重區</v>
      </c>
      <c r="J50" s="249">
        <v>45660.43472222222</v>
      </c>
      <c r="K50" s="238"/>
      <c r="L50" s="238"/>
      <c r="M50" s="238"/>
      <c r="N50" s="238"/>
      <c r="O50" s="238"/>
      <c r="P50" s="215" t="s">
        <v>55</v>
      </c>
      <c r="Q50" s="245" t="s">
        <v>4120</v>
      </c>
    </row>
    <row r="51" spans="1:17" ht="19.5" customHeight="1">
      <c r="A51" s="237">
        <v>2259</v>
      </c>
      <c r="B51" s="237" t="str">
        <f>VLOOKUP(A51,門市主檔!A:B,2,FALSE)</f>
        <v>三重興華店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2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2</v>
      </c>
      <c r="I51" s="237" t="str">
        <f>VLOOKUP(A51,'0919門市清單主檔'!B:V,21,FALSE)</f>
        <v>三重區</v>
      </c>
      <c r="J51" s="249">
        <v>45660.622916666667</v>
      </c>
      <c r="K51" s="238"/>
      <c r="L51" s="238"/>
      <c r="M51" s="238"/>
      <c r="N51" s="238"/>
      <c r="O51" s="238"/>
      <c r="P51" s="215" t="s">
        <v>55</v>
      </c>
      <c r="Q51" s="245" t="s">
        <v>4120</v>
      </c>
    </row>
    <row r="52" spans="1:17" ht="19.5" customHeight="1">
      <c r="A52" s="237">
        <v>4191</v>
      </c>
      <c r="B52" s="237" t="str">
        <f>VLOOKUP(A52,門市主檔!A:B,2,FALSE)</f>
        <v>三重溪美店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2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2</v>
      </c>
      <c r="I52" s="237" t="str">
        <f>VLOOKUP(A52,'0919門市清單主檔'!B:V,21,FALSE)</f>
        <v>三重區</v>
      </c>
      <c r="J52" s="249">
        <v>45660.51666666667</v>
      </c>
      <c r="K52" s="238"/>
      <c r="L52" s="238"/>
      <c r="M52" s="238"/>
      <c r="N52" s="238"/>
      <c r="O52" s="238"/>
      <c r="P52" s="215" t="s">
        <v>55</v>
      </c>
      <c r="Q52" s="245" t="s">
        <v>4120</v>
      </c>
    </row>
    <row r="53" spans="1:17" ht="19.5" customHeight="1">
      <c r="A53" s="237">
        <v>2837</v>
      </c>
      <c r="B53" s="237" t="str">
        <f>VLOOKUP(A53,門市主檔!A:B,2,FALSE)</f>
        <v>北縣重萬店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2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2</v>
      </c>
      <c r="I53" s="237" t="str">
        <f>VLOOKUP(A53,'0919門市清單主檔'!B:V,21,FALSE)</f>
        <v>三重區</v>
      </c>
      <c r="J53" s="249">
        <v>45660.659722222219</v>
      </c>
      <c r="K53" s="238"/>
      <c r="L53" s="238"/>
      <c r="M53" s="238"/>
      <c r="N53" s="238"/>
      <c r="O53" s="238"/>
      <c r="P53" s="215" t="s">
        <v>55</v>
      </c>
      <c r="Q53" s="245" t="s">
        <v>4120</v>
      </c>
    </row>
    <row r="54" spans="1:17" ht="19.5" customHeight="1">
      <c r="A54" s="237">
        <v>5245</v>
      </c>
      <c r="B54" s="237" t="str">
        <f>VLOOKUP(A54,門市主檔!A:B,2,FALSE)</f>
        <v>三重護山店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2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無專案</v>
      </c>
      <c r="H54" s="343">
        <f>VLOOKUP(A54,門市主檔!A:U,21,FALSE)</f>
        <v>0</v>
      </c>
      <c r="I54" s="237" t="str">
        <f>VLOOKUP(A54,'0919門市清單主檔'!B:V,21,FALSE)</f>
        <v>三重區</v>
      </c>
      <c r="J54" s="250">
        <v>45660.541666666664</v>
      </c>
      <c r="K54" s="238"/>
      <c r="L54" s="238"/>
      <c r="M54" s="238"/>
      <c r="N54" s="238"/>
      <c r="O54" s="238"/>
      <c r="P54" s="215"/>
      <c r="Q54" s="245" t="s">
        <v>4120</v>
      </c>
    </row>
    <row r="55" spans="1:17" ht="19.5" customHeight="1">
      <c r="A55" s="237">
        <v>2543</v>
      </c>
      <c r="B55" s="237" t="str">
        <f>VLOOKUP(A55,門市主檔!A:B,2,FALSE)</f>
        <v>三重大仁店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2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三重區</v>
      </c>
      <c r="J55" s="249">
        <v>45666.495138888888</v>
      </c>
      <c r="K55" s="238"/>
      <c r="L55" s="238"/>
      <c r="M55" s="238"/>
      <c r="N55" s="238"/>
      <c r="O55" s="238"/>
      <c r="P55" s="215" t="s">
        <v>55</v>
      </c>
      <c r="Q55" s="245" t="s">
        <v>4120</v>
      </c>
    </row>
    <row r="56" spans="1:17" ht="19.5" customHeight="1">
      <c r="A56" s="237">
        <v>3983</v>
      </c>
      <c r="B56" s="237" t="str">
        <f>VLOOKUP(A56,門市主檔!A:B,2,FALSE)</f>
        <v>三重星光店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2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1</v>
      </c>
      <c r="I56" s="237" t="str">
        <f>VLOOKUP(A56,'0919門市清單主檔'!B:V,21,FALSE)</f>
        <v>三重區</v>
      </c>
      <c r="J56" s="249">
        <v>45665.656944444447</v>
      </c>
      <c r="K56" s="238"/>
      <c r="L56" s="238"/>
      <c r="M56" s="238"/>
      <c r="N56" s="238"/>
      <c r="O56" s="238"/>
      <c r="P56" s="215" t="s">
        <v>55</v>
      </c>
      <c r="Q56" s="245" t="s">
        <v>4120</v>
      </c>
    </row>
    <row r="57" spans="1:17" ht="19.5" customHeight="1">
      <c r="A57" s="237">
        <v>2209</v>
      </c>
      <c r="B57" s="237" t="str">
        <f>VLOOKUP(A57,門市主檔!A:B,2,FALSE)</f>
        <v>北縣重強店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2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三重區</v>
      </c>
      <c r="J57" s="249">
        <v>45666.625694444447</v>
      </c>
      <c r="K57" s="238"/>
      <c r="L57" s="238"/>
      <c r="M57" s="238"/>
      <c r="N57" s="238"/>
      <c r="O57" s="238"/>
      <c r="P57" s="215" t="s">
        <v>55</v>
      </c>
      <c r="Q57" s="245" t="s">
        <v>4120</v>
      </c>
    </row>
    <row r="58" spans="1:17" ht="19.5" customHeight="1">
      <c r="A58" s="237">
        <v>4397</v>
      </c>
      <c r="B58" s="237" t="str">
        <f>VLOOKUP(A58,門市主檔!A:B,2,FALSE)</f>
        <v>三重仁旺店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2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未更換</v>
      </c>
      <c r="H58" s="343">
        <f>VLOOKUP(A58,門市主檔!A:U,21,FALSE)</f>
        <v>2</v>
      </c>
      <c r="I58" s="237" t="str">
        <f>VLOOKUP(A58,'0919門市清單主檔'!B:V,21,FALSE)</f>
        <v>三重區</v>
      </c>
      <c r="J58" s="249">
        <v>45670.512499999997</v>
      </c>
      <c r="K58" s="238"/>
      <c r="L58" s="238"/>
      <c r="M58" s="238"/>
      <c r="N58" s="238"/>
      <c r="O58" s="238"/>
      <c r="P58" s="215" t="s">
        <v>55</v>
      </c>
      <c r="Q58" s="245" t="s">
        <v>4120</v>
      </c>
    </row>
    <row r="59" spans="1:17" ht="19.5" customHeight="1">
      <c r="A59" s="237">
        <v>4586</v>
      </c>
      <c r="B59" s="237" t="str">
        <f>VLOOKUP(A59,門市主檔!A:B,2,FALSE)</f>
        <v>三重三文店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2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無專案</v>
      </c>
      <c r="H59" s="343">
        <f>VLOOKUP(A59,門市主檔!A:U,21,FALSE)</f>
        <v>0</v>
      </c>
      <c r="I59" s="237" t="str">
        <f>VLOOKUP(A59,'0919門市清單主檔'!B:V,21,FALSE)</f>
        <v>三重區</v>
      </c>
      <c r="J59" s="249">
        <v>45667.591666666667</v>
      </c>
      <c r="K59" s="238"/>
      <c r="L59" s="238"/>
      <c r="M59" s="238"/>
      <c r="N59" s="238"/>
      <c r="O59" s="238"/>
      <c r="P59" s="215" t="s">
        <v>55</v>
      </c>
      <c r="Q59" s="245" t="s">
        <v>4120</v>
      </c>
    </row>
    <row r="60" spans="1:17" ht="19.5" customHeight="1">
      <c r="A60" s="237">
        <v>4312</v>
      </c>
      <c r="B60" s="237" t="str">
        <f>VLOOKUP(A60,門市主檔!A:B,2,FALSE)</f>
        <v>三重文化北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2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三重區</v>
      </c>
      <c r="J60" s="249">
        <v>45667.625694444447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9.5" customHeight="1">
      <c r="A61" s="237">
        <v>2321</v>
      </c>
      <c r="B61" s="237" t="str">
        <f>VLOOKUP(A61,門市主檔!A:B,2,FALSE)</f>
        <v>北縣重鑫店</v>
      </c>
      <c r="C61" s="359" t="str">
        <f>IF(COUNTIFS(IM!$F:$F,A61,IM!$AD:$AD,"O",IM!$X:$X,"&gt;="&amp;$R$1, IM!$X:$X,"&lt;="&amp;$S$1)&gt;0,"V","")</f>
        <v>V</v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2"/>
        <v/>
      </c>
      <c r="G61" s="237" t="str">
        <f>IF(AND(VLOOKUP(A61,門市主檔!A:Y,25,FALSE)="STAR", VLOOKUP(A61,門市主檔!A:N,14,FALSE)=""), "未更換", IF(VLOOKUP(A61,門市主檔!A:Y,25,FALSE)&lt;&gt;"STAR", "無專案", "已更換"))</f>
        <v>已更換</v>
      </c>
      <c r="H61" s="343">
        <f>VLOOKUP(A61,門市主檔!A:U,21,FALSE)</f>
        <v>2</v>
      </c>
      <c r="I61" s="237" t="str">
        <f>VLOOKUP(A61,'0919門市清單主檔'!B:V,21,FALSE)</f>
        <v>三重區</v>
      </c>
      <c r="J61" s="249">
        <v>45665.590277777781</v>
      </c>
      <c r="K61" s="238"/>
      <c r="L61" s="238"/>
      <c r="M61" s="238"/>
      <c r="N61" s="238"/>
      <c r="O61" s="238"/>
      <c r="P61" s="215" t="s">
        <v>55</v>
      </c>
      <c r="Q61" s="245" t="s">
        <v>4120</v>
      </c>
    </row>
    <row r="62" spans="1:17" ht="19.5" customHeight="1">
      <c r="A62" s="237">
        <v>2619</v>
      </c>
      <c r="B62" s="237" t="str">
        <f>VLOOKUP(A62,門市主檔!A:B,2,FALSE)</f>
        <v>三重大榮店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2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2</v>
      </c>
      <c r="I62" s="237" t="str">
        <f>VLOOKUP(A62,'0919門市清單主檔'!B:V,21,FALSE)</f>
        <v>三重區</v>
      </c>
      <c r="J62" s="249">
        <v>45667.649305555555</v>
      </c>
      <c r="K62" s="238"/>
      <c r="L62" s="238"/>
      <c r="M62" s="238"/>
      <c r="N62" s="238"/>
      <c r="O62" s="238"/>
      <c r="P62" s="215"/>
      <c r="Q62" s="245" t="s">
        <v>4120</v>
      </c>
    </row>
    <row r="63" spans="1:17" ht="19.5" customHeight="1">
      <c r="A63" s="237">
        <v>2759</v>
      </c>
      <c r="B63" s="237" t="str">
        <f>VLOOKUP(A63,門市主檔!A:B,2,FALSE)</f>
        <v>三重仁化店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2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2</v>
      </c>
      <c r="I63" s="237" t="str">
        <f>VLOOKUP(A63,'0919門市清單主檔'!B:V,21,FALSE)</f>
        <v>三重區</v>
      </c>
      <c r="J63" s="249">
        <v>45665.635416666664</v>
      </c>
      <c r="K63" s="238"/>
      <c r="L63" s="238"/>
      <c r="M63" s="238"/>
      <c r="N63" s="238"/>
      <c r="O63" s="238"/>
      <c r="P63" s="215" t="s">
        <v>55</v>
      </c>
      <c r="Q63" s="245" t="s">
        <v>4120</v>
      </c>
    </row>
    <row r="64" spans="1:17" ht="19.5" customHeight="1">
      <c r="A64" s="237" t="s">
        <v>38</v>
      </c>
      <c r="B64" s="237" t="str">
        <f>VLOOKUP(A64,門市主檔!A:B,2,FALSE)</f>
        <v>三重大有店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2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三重區</v>
      </c>
      <c r="J64" s="249">
        <v>45664.631944444445</v>
      </c>
      <c r="K64" s="238"/>
      <c r="L64" s="238"/>
      <c r="M64" s="238"/>
      <c r="N64" s="238"/>
      <c r="O64" s="238"/>
      <c r="P64" s="215" t="s">
        <v>55</v>
      </c>
      <c r="Q64" s="245" t="s">
        <v>4120</v>
      </c>
    </row>
    <row r="65" spans="1:17" ht="19.5" customHeight="1">
      <c r="A65" s="237">
        <v>3627</v>
      </c>
      <c r="B65" s="237" t="str">
        <f>VLOOKUP(A65,門市主檔!A:B,2,FALSE)</f>
        <v>三重重新橋</v>
      </c>
      <c r="C65" s="359" t="str">
        <f>IF(COUNTIFS(IM!$F:$F,A65,IM!$AD:$AD,"O",IM!$X:$X,"&gt;="&amp;$R$1, IM!$X:$X,"&lt;="&amp;$S$1)&gt;0,"V","")</f>
        <v>V</v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2"/>
        <v/>
      </c>
      <c r="G65" s="237" t="str">
        <f>IF(AND(VLOOKUP(A65,門市主檔!A:Y,25,FALSE)="STAR", VLOOKUP(A65,門市主檔!A:N,14,FALSE)=""), "未更換", IF(VLOOKUP(A65,門市主檔!A:Y,25,FALSE)&lt;&gt;"STAR", "無專案", "已更換"))</f>
        <v>已更換</v>
      </c>
      <c r="H65" s="343">
        <f>VLOOKUP(A65,門市主檔!A:U,21,FALSE)</f>
        <v>2</v>
      </c>
      <c r="I65" s="237" t="str">
        <f>VLOOKUP(A65,'0919門市清單主檔'!B:V,21,FALSE)</f>
        <v>三重區</v>
      </c>
      <c r="J65" s="249">
        <v>45665.462500000001</v>
      </c>
      <c r="K65" s="238"/>
      <c r="L65" s="238"/>
      <c r="M65" s="238"/>
      <c r="N65" s="238"/>
      <c r="O65" s="238"/>
      <c r="P65" s="215" t="s">
        <v>55</v>
      </c>
      <c r="Q65" s="245" t="s">
        <v>4120</v>
      </c>
    </row>
    <row r="66" spans="1:17" ht="19.5" customHeight="1">
      <c r="A66" s="237">
        <v>4184</v>
      </c>
      <c r="B66" s="237" t="str">
        <f>VLOOKUP(A66,門市主檔!A:B,2,FALSE)</f>
        <v>三重今大店</v>
      </c>
      <c r="C66" s="359" t="str">
        <f>IF(COUNTIFS(IM!$F:$F,A66,IM!$AD:$AD,"O",IM!$X:$X,"&gt;="&amp;$R$1, IM!$X:$X,"&lt;="&amp;$S$1)&gt;0,"V","")</f>
        <v/>
      </c>
      <c r="D66" s="359" t="str">
        <f>IF(AND(C66&lt;&gt;"V", COUNTIFS(IM!$F:$F,A66, IM!$AD:$AD, "O", IM!$X:$X, "&gt;="&amp;$R$2, IM!$X:$X, "&lt;="&amp;$S$2)&gt;0), "V", "")</f>
        <v/>
      </c>
      <c r="E66" s="359" t="str">
        <f>IF(AND(C66&lt;&gt;"V",D66&lt;&gt;"V", COUNTIFS(IM!$F:$F, A66, IM!$AD:$AD, "O", IM!$X:$X, "&gt;="&amp;$R$3, IM!$X:$X, "&lt;="&amp;$S$3)&gt;0), "V", "")</f>
        <v/>
      </c>
      <c r="F66" s="237" t="str">
        <f t="shared" si="2"/>
        <v>未保養</v>
      </c>
      <c r="G66" s="237" t="str">
        <f>IF(AND(VLOOKUP(A66,門市主檔!A:Y,25,FALSE)="STAR", VLOOKUP(A66,門市主檔!A:N,14,FALSE)=""), "未更換", IF(VLOOKUP(A66,門市主檔!A:Y,25,FALSE)&lt;&gt;"STAR", "無專案", "已更換"))</f>
        <v>未更換</v>
      </c>
      <c r="H66" s="343">
        <f>VLOOKUP(A66,門市主檔!A:U,21,FALSE)</f>
        <v>1</v>
      </c>
      <c r="I66" s="237" t="str">
        <f>VLOOKUP(A66,'0919門市清單主檔'!B:V,21,FALSE)</f>
        <v>三重區</v>
      </c>
      <c r="J66" s="249">
        <v>45666.468055555553</v>
      </c>
      <c r="K66" s="238"/>
      <c r="L66" s="238"/>
      <c r="M66" s="238"/>
      <c r="N66" s="238"/>
      <c r="O66" s="238"/>
      <c r="P66" s="215" t="s">
        <v>55</v>
      </c>
      <c r="Q66" s="245" t="s">
        <v>4120</v>
      </c>
    </row>
    <row r="67" spans="1:17" ht="19.5" customHeight="1">
      <c r="A67" s="237">
        <v>3676</v>
      </c>
      <c r="B67" s="237" t="str">
        <f>VLOOKUP(A67,門市主檔!A:B,2,FALSE)</f>
        <v>三重田心店</v>
      </c>
      <c r="C67" s="359" t="str">
        <f>IF(COUNTIFS(IM!$F:$F,A67,IM!$AD:$AD,"O",IM!$X:$X,"&gt;="&amp;$R$1, IM!$X:$X,"&lt;="&amp;$S$1)&gt;0,"V","")</f>
        <v/>
      </c>
      <c r="D67" s="359" t="str">
        <f>IF(AND(C67&lt;&gt;"V", COUNTIFS(IM!$F:$F,A67, IM!$AD:$AD, "O", IM!$X:$X, "&gt;="&amp;$R$2, IM!$X:$X, "&lt;="&amp;$S$2)&gt;0), "V", "")</f>
        <v/>
      </c>
      <c r="E67" s="359" t="str">
        <f>IF(AND(C67&lt;&gt;"V",D67&lt;&gt;"V", COUNTIFS(IM!$F:$F, A67, IM!$AD:$AD, "O", IM!$X:$X, "&gt;="&amp;$R$3, IM!$X:$X, "&lt;="&amp;$S$3)&gt;0), "V", "")</f>
        <v/>
      </c>
      <c r="F67" s="237" t="str">
        <f t="shared" si="2"/>
        <v>未保養</v>
      </c>
      <c r="G67" s="237" t="str">
        <f>IF(AND(VLOOKUP(A67,門市主檔!A:Y,25,FALSE)="STAR", VLOOKUP(A67,門市主檔!A:N,14,FALSE)=""), "未更換", IF(VLOOKUP(A67,門市主檔!A:Y,25,FALSE)&lt;&gt;"STAR", "無專案", "已更換"))</f>
        <v>未更換</v>
      </c>
      <c r="H67" s="343">
        <f>VLOOKUP(A67,門市主檔!A:U,21,FALSE)</f>
        <v>2</v>
      </c>
      <c r="I67" s="237" t="str">
        <f>VLOOKUP(A67,'0919門市清單主檔'!B:V,21,FALSE)</f>
        <v>三重區</v>
      </c>
      <c r="J67" s="249">
        <v>45666.707638888889</v>
      </c>
      <c r="K67" s="238"/>
      <c r="L67" s="238"/>
      <c r="M67" s="238"/>
      <c r="N67" s="238"/>
      <c r="O67" s="238"/>
      <c r="P67" s="215" t="s">
        <v>55</v>
      </c>
      <c r="Q67" s="245" t="s">
        <v>4120</v>
      </c>
    </row>
    <row r="68" spans="1:17" ht="19.5" customHeight="1">
      <c r="A68" s="237" t="s">
        <v>19</v>
      </c>
      <c r="B68" s="237" t="str">
        <f>VLOOKUP(A68,門市主檔!A:B,2,FALSE)</f>
        <v>三重三民店</v>
      </c>
      <c r="C68" s="359" t="str">
        <f>IF(COUNTIFS(IM!$F:$F,A68,IM!$AD:$AD,"O",IM!$X:$X,"&gt;="&amp;$R$1, IM!$X:$X,"&lt;="&amp;$S$1)&gt;0,"V","")</f>
        <v/>
      </c>
      <c r="D68" s="359" t="str">
        <f>IF(AND(C68&lt;&gt;"V", COUNTIFS(IM!$F:$F,A68, IM!$AD:$AD, "O", IM!$X:$X, "&gt;="&amp;$R$2, IM!$X:$X, "&lt;="&amp;$S$2)&gt;0), "V", "")</f>
        <v/>
      </c>
      <c r="E68" s="359" t="str">
        <f>IF(AND(C68&lt;&gt;"V",D68&lt;&gt;"V", COUNTIFS(IM!$F:$F, A68, IM!$AD:$AD, "O", IM!$X:$X, "&gt;="&amp;$R$3, IM!$X:$X, "&lt;="&amp;$S$3)&gt;0), "V", "")</f>
        <v/>
      </c>
      <c r="F68" s="237" t="str">
        <f t="shared" si="2"/>
        <v>未保養</v>
      </c>
      <c r="G68" s="237" t="str">
        <f>IF(AND(VLOOKUP(A68,門市主檔!A:Y,25,FALSE)="STAR", VLOOKUP(A68,門市主檔!A:N,14,FALSE)=""), "未更換", IF(VLOOKUP(A68,門市主檔!A:Y,25,FALSE)&lt;&gt;"STAR", "無專案", "已更換"))</f>
        <v>未更換</v>
      </c>
      <c r="H68" s="343">
        <f>VLOOKUP(A68,門市主檔!A:U,21,FALSE)</f>
        <v>2</v>
      </c>
      <c r="I68" s="237" t="str">
        <f>VLOOKUP(A68,'0919門市清單主檔'!B:V,21,FALSE)</f>
        <v>三重區</v>
      </c>
      <c r="J68" s="249">
        <v>45666.690972222219</v>
      </c>
      <c r="K68" s="238"/>
      <c r="L68" s="238"/>
      <c r="M68" s="238"/>
      <c r="N68" s="238"/>
      <c r="O68" s="238"/>
      <c r="P68" s="215" t="s">
        <v>55</v>
      </c>
      <c r="Q68" s="245" t="s">
        <v>4120</v>
      </c>
    </row>
    <row r="69" spans="1:17" ht="19.5" customHeight="1">
      <c r="A69" s="237">
        <v>4968</v>
      </c>
      <c r="B69" s="237" t="str">
        <f>VLOOKUP(A69,門市主檔!A:B,2,FALSE)</f>
        <v>三重太璞宮</v>
      </c>
      <c r="C69" s="359" t="str">
        <f>IF(COUNTIFS(IM!$F:$F,A69,IM!$AD:$AD,"O",IM!$X:$X,"&gt;="&amp;$R$1, IM!$X:$X,"&lt;="&amp;$S$1)&gt;0,"V","")</f>
        <v/>
      </c>
      <c r="D69" s="359" t="str">
        <f>IF(AND(C69&lt;&gt;"V", COUNTIFS(IM!$F:$F,A69, IM!$AD:$AD, "O", IM!$X:$X, "&gt;="&amp;$R$2, IM!$X:$X, "&lt;="&amp;$S$2)&gt;0), "V", "")</f>
        <v/>
      </c>
      <c r="E69" s="359" t="str">
        <f>IF(AND(C69&lt;&gt;"V",D69&lt;&gt;"V", COUNTIFS(IM!$F:$F, A69, IM!$AD:$AD, "O", IM!$X:$X, "&gt;="&amp;$R$3, IM!$X:$X, "&lt;="&amp;$S$3)&gt;0), "V", "")</f>
        <v/>
      </c>
      <c r="F69" s="237" t="str">
        <f t="shared" si="2"/>
        <v>未保養</v>
      </c>
      <c r="G69" s="237" t="str">
        <f>IF(AND(VLOOKUP(A69,門市主檔!A:Y,25,FALSE)="STAR", VLOOKUP(A69,門市主檔!A:N,14,FALSE)=""), "未更換", IF(VLOOKUP(A69,門市主檔!A:Y,25,FALSE)&lt;&gt;"STAR", "無專案", "已更換"))</f>
        <v>未更換</v>
      </c>
      <c r="H69" s="343">
        <f>VLOOKUP(A69,門市主檔!A:U,21,FALSE)</f>
        <v>1</v>
      </c>
      <c r="I69" s="237" t="str">
        <f>VLOOKUP(A69,'0919門市清單主檔'!B:V,21,FALSE)</f>
        <v>三重區</v>
      </c>
      <c r="J69" s="249">
        <v>45664.662499999999</v>
      </c>
      <c r="K69" s="238"/>
      <c r="L69" s="238"/>
      <c r="M69" s="238"/>
      <c r="N69" s="238"/>
      <c r="O69" s="238"/>
      <c r="P69" s="215" t="s">
        <v>55</v>
      </c>
      <c r="Q69" s="245" t="s">
        <v>4120</v>
      </c>
    </row>
    <row r="70" spans="1:17" ht="19.5" customHeight="1">
      <c r="A70" s="237">
        <v>4155</v>
      </c>
      <c r="B70" s="237" t="str">
        <f>VLOOKUP(A70,門市主檔!A:B,2,FALSE)</f>
        <v>三重穀保店</v>
      </c>
      <c r="C70" s="359" t="str">
        <f>IF(COUNTIFS(IM!$F:$F,A70,IM!$AD:$AD,"O",IM!$X:$X,"&gt;="&amp;$R$1, IM!$X:$X,"&lt;="&amp;$S$1)&gt;0,"V","")</f>
        <v>V</v>
      </c>
      <c r="D70" s="359" t="str">
        <f>IF(AND(C70&lt;&gt;"V", COUNTIFS(IM!$F:$F,A70, IM!$AD:$AD, "O", IM!$X:$X, "&gt;="&amp;$R$2, IM!$X:$X, "&lt;="&amp;$S$2)&gt;0), "V", "")</f>
        <v/>
      </c>
      <c r="E70" s="359" t="str">
        <f>IF(AND(C70&lt;&gt;"V",D70&lt;&gt;"V", COUNTIFS(IM!$F:$F, A70, IM!$AD:$AD, "O", IM!$X:$X, "&gt;="&amp;$R$3, IM!$X:$X, "&lt;="&amp;$S$3)&gt;0), "V", "")</f>
        <v/>
      </c>
      <c r="F70" s="237" t="str">
        <f t="shared" si="2"/>
        <v/>
      </c>
      <c r="G70" s="237" t="str">
        <f>IF(AND(VLOOKUP(A70,門市主檔!A:Y,25,FALSE)="STAR", VLOOKUP(A70,門市主檔!A:N,14,FALSE)=""), "未更換", IF(VLOOKUP(A70,門市主檔!A:Y,25,FALSE)&lt;&gt;"STAR", "無專案", "已更換"))</f>
        <v>已更換</v>
      </c>
      <c r="H70" s="343">
        <f>VLOOKUP(A70,門市主檔!A:U,21,FALSE)</f>
        <v>1</v>
      </c>
      <c r="I70" s="237" t="str">
        <f>VLOOKUP(A70,'0919門市清單主檔'!B:V,21,FALSE)</f>
        <v>三重區</v>
      </c>
      <c r="J70" s="249">
        <v>45664.611111111109</v>
      </c>
      <c r="K70" s="238"/>
      <c r="L70" s="238"/>
      <c r="M70" s="238"/>
      <c r="N70" s="238"/>
      <c r="O70" s="238"/>
      <c r="P70" s="215" t="s">
        <v>55</v>
      </c>
      <c r="Q70" s="245" t="s">
        <v>4120</v>
      </c>
    </row>
    <row r="71" spans="1:17" ht="19.5" customHeight="1">
      <c r="A71" s="237">
        <v>2014</v>
      </c>
      <c r="B71" s="237" t="str">
        <f>VLOOKUP(A71,門市主檔!A:B,2,FALSE)</f>
        <v>三重中陽二店</v>
      </c>
      <c r="C71" s="359" t="str">
        <f>IF(COUNTIFS(IM!$F:$F,A71,IM!$AD:$AD,"O",IM!$X:$X,"&gt;="&amp;$R$1, IM!$X:$X,"&lt;="&amp;$S$1)&gt;0,"V","")</f>
        <v/>
      </c>
      <c r="D71" s="359" t="str">
        <f>IF(AND(C71&lt;&gt;"V", COUNTIFS(IM!$F:$F,A71, IM!$AD:$AD, "O", IM!$X:$X, "&gt;="&amp;$R$2, IM!$X:$X, "&lt;="&amp;$S$2)&gt;0), "V", "")</f>
        <v/>
      </c>
      <c r="E71" s="359" t="str">
        <f>IF(AND(C71&lt;&gt;"V",D71&lt;&gt;"V", COUNTIFS(IM!$F:$F, A71, IM!$AD:$AD, "O", IM!$X:$X, "&gt;="&amp;$R$3, IM!$X:$X, "&lt;="&amp;$S$3)&gt;0), "V", "")</f>
        <v/>
      </c>
      <c r="F71" s="237" t="str">
        <f t="shared" si="2"/>
        <v>未保養</v>
      </c>
      <c r="G71" s="237" t="str">
        <f>IF(AND(VLOOKUP(A71,門市主檔!A:Y,25,FALSE)="STAR", VLOOKUP(A71,門市主檔!A:N,14,FALSE)=""), "未更換", IF(VLOOKUP(A71,門市主檔!A:Y,25,FALSE)&lt;&gt;"STAR", "無專案", "已更換"))</f>
        <v>未更換</v>
      </c>
      <c r="H71" s="343">
        <f>VLOOKUP(A71,門市主檔!A:U,21,FALSE)</f>
        <v>2</v>
      </c>
      <c r="I71" s="237" t="str">
        <f>VLOOKUP(A71,'0919門市清單主檔'!B:V,21,FALSE)</f>
        <v>三重區</v>
      </c>
      <c r="J71" s="249">
        <v>45664.704861111109</v>
      </c>
      <c r="K71" s="238"/>
      <c r="L71" s="238"/>
      <c r="M71" s="238"/>
      <c r="N71" s="238"/>
      <c r="O71" s="238"/>
      <c r="P71" s="215" t="s">
        <v>55</v>
      </c>
      <c r="Q71" s="245" t="s">
        <v>4120</v>
      </c>
    </row>
    <row r="72" spans="1:17" ht="19.5" customHeight="1">
      <c r="A72" s="237">
        <v>4539</v>
      </c>
      <c r="B72" s="237" t="str">
        <f>VLOOKUP(A72,門市主檔!A:B,2,FALSE)</f>
        <v>三重自信店</v>
      </c>
      <c r="C72" s="359" t="str">
        <f>IF(COUNTIFS(IM!$F:$F,A72,IM!$AD:$AD,"O",IM!$X:$X,"&gt;="&amp;$R$1, IM!$X:$X,"&lt;="&amp;$S$1)&gt;0,"V","")</f>
        <v/>
      </c>
      <c r="D72" s="359" t="str">
        <f>IF(AND(C72&lt;&gt;"V", COUNTIFS(IM!$F:$F,A72, IM!$AD:$AD, "O", IM!$X:$X, "&gt;="&amp;$R$2, IM!$X:$X, "&lt;="&amp;$S$2)&gt;0), "V", "")</f>
        <v/>
      </c>
      <c r="E72" s="359" t="str">
        <f>IF(AND(C72&lt;&gt;"V",D72&lt;&gt;"V", COUNTIFS(IM!$F:$F, A72, IM!$AD:$AD, "O", IM!$X:$X, "&gt;="&amp;$R$3, IM!$X:$X, "&lt;="&amp;$S$3)&gt;0), "V", "")</f>
        <v/>
      </c>
      <c r="F72" s="237" t="str">
        <f t="shared" ref="F72:F103" si="3">IF(COUNTBLANK(C72:E72)=3,"未保養","")</f>
        <v>未保養</v>
      </c>
      <c r="G72" s="237" t="str">
        <f>IF(AND(VLOOKUP(A72,門市主檔!A:Y,25,FALSE)="STAR", VLOOKUP(A72,門市主檔!A:N,14,FALSE)=""), "未更換", IF(VLOOKUP(A72,門市主檔!A:Y,25,FALSE)&lt;&gt;"STAR", "無專案", "已更換"))</f>
        <v>未更換</v>
      </c>
      <c r="H72" s="343">
        <f>VLOOKUP(A72,門市主檔!A:U,21,FALSE)</f>
        <v>2</v>
      </c>
      <c r="I72" s="237" t="str">
        <f>VLOOKUP(A72,'0919門市清單主檔'!B:V,21,FALSE)</f>
        <v>三重區</v>
      </c>
      <c r="J72" s="249">
        <v>45666.644444444442</v>
      </c>
      <c r="K72" s="238"/>
      <c r="L72" s="238"/>
      <c r="M72" s="238"/>
      <c r="N72" s="238"/>
      <c r="O72" s="238"/>
      <c r="P72" s="215" t="s">
        <v>55</v>
      </c>
      <c r="Q72" s="245" t="s">
        <v>4120</v>
      </c>
    </row>
    <row r="73" spans="1:17" ht="19.5" customHeight="1">
      <c r="A73" s="237">
        <v>4804</v>
      </c>
      <c r="B73" s="237" t="str">
        <f>VLOOKUP(A73,門市主檔!A:B,2,FALSE)</f>
        <v>三重國隆店</v>
      </c>
      <c r="C73" s="359" t="str">
        <f>IF(COUNTIFS(IM!$F:$F,A73,IM!$AD:$AD,"O",IM!$X:$X,"&gt;="&amp;$R$1, IM!$X:$X,"&lt;="&amp;$S$1)&gt;0,"V","")</f>
        <v/>
      </c>
      <c r="D73" s="359" t="str">
        <f>IF(AND(C73&lt;&gt;"V", COUNTIFS(IM!$F:$F,A73, IM!$AD:$AD, "O", IM!$X:$X, "&gt;="&amp;$R$2, IM!$X:$X, "&lt;="&amp;$S$2)&gt;0), "V", "")</f>
        <v/>
      </c>
      <c r="E73" s="359" t="str">
        <f>IF(AND(C73&lt;&gt;"V",D73&lt;&gt;"V", COUNTIFS(IM!$F:$F, A73, IM!$AD:$AD, "O", IM!$X:$X, "&gt;="&amp;$R$3, IM!$X:$X, "&lt;="&amp;$S$3)&gt;0), "V", "")</f>
        <v/>
      </c>
      <c r="F73" s="237" t="str">
        <f t="shared" si="3"/>
        <v>未保養</v>
      </c>
      <c r="G73" s="237" t="str">
        <f>IF(AND(VLOOKUP(A73,門市主檔!A:Y,25,FALSE)="STAR", VLOOKUP(A73,門市主檔!A:N,14,FALSE)=""), "未更換", IF(VLOOKUP(A73,門市主檔!A:Y,25,FALSE)&lt;&gt;"STAR", "無專案", "已更換"))</f>
        <v>未更換</v>
      </c>
      <c r="H73" s="343">
        <f>VLOOKUP(A73,門市主檔!A:U,21,FALSE)</f>
        <v>2</v>
      </c>
      <c r="I73" s="237" t="str">
        <f>VLOOKUP(A73,'0919門市清單主檔'!B:V,21,FALSE)</f>
        <v>三重區</v>
      </c>
      <c r="J73" s="249">
        <v>45666.450694444444</v>
      </c>
      <c r="K73" s="238"/>
      <c r="L73" s="238"/>
      <c r="M73" s="238"/>
      <c r="N73" s="238"/>
      <c r="O73" s="238"/>
      <c r="P73" s="215" t="s">
        <v>55</v>
      </c>
      <c r="Q73" s="245" t="s">
        <v>4120</v>
      </c>
    </row>
    <row r="74" spans="1:17" ht="19.5" customHeight="1">
      <c r="A74" s="237">
        <v>4260</v>
      </c>
      <c r="B74" s="237" t="str">
        <f>VLOOKUP(A74,門市主檔!A:B,2,FALSE)</f>
        <v>三重重高店</v>
      </c>
      <c r="C74" s="359" t="str">
        <f>IF(COUNTIFS(IM!$F:$F,A74,IM!$AD:$AD,"O",IM!$X:$X,"&gt;="&amp;$R$1, IM!$X:$X,"&lt;="&amp;$S$1)&gt;0,"V","")</f>
        <v>V</v>
      </c>
      <c r="D74" s="359" t="str">
        <f>IF(AND(C74&lt;&gt;"V", COUNTIFS(IM!$F:$F,A74, IM!$AD:$AD, "O", IM!$X:$X, "&gt;="&amp;$R$2, IM!$X:$X, "&lt;="&amp;$S$2)&gt;0), "V", "")</f>
        <v/>
      </c>
      <c r="E74" s="359" t="str">
        <f>IF(AND(C74&lt;&gt;"V",D74&lt;&gt;"V", COUNTIFS(IM!$F:$F, A74, IM!$AD:$AD, "O", IM!$X:$X, "&gt;="&amp;$R$3, IM!$X:$X, "&lt;="&amp;$S$3)&gt;0), "V", "")</f>
        <v/>
      </c>
      <c r="F74" s="237" t="str">
        <f t="shared" si="3"/>
        <v/>
      </c>
      <c r="G74" s="237" t="str">
        <f>IF(AND(VLOOKUP(A74,門市主檔!A:Y,25,FALSE)="STAR", VLOOKUP(A74,門市主檔!A:N,14,FALSE)=""), "未更換", IF(VLOOKUP(A74,門市主檔!A:Y,25,FALSE)&lt;&gt;"STAR", "無專案", "已更換"))</f>
        <v>已更換</v>
      </c>
      <c r="H74" s="343">
        <f>VLOOKUP(A74,門市主檔!A:U,21,FALSE)</f>
        <v>2</v>
      </c>
      <c r="I74" s="237" t="str">
        <f>VLOOKUP(A74,'0919門市清單主檔'!B:V,21,FALSE)</f>
        <v>三重區</v>
      </c>
      <c r="J74" s="249">
        <v>45665.534722222219</v>
      </c>
      <c r="K74" s="215"/>
      <c r="L74" s="215"/>
      <c r="M74" s="215"/>
      <c r="N74" s="215"/>
      <c r="O74" s="215"/>
      <c r="P74" s="215" t="s">
        <v>55</v>
      </c>
      <c r="Q74" s="245" t="s">
        <v>4120</v>
      </c>
    </row>
    <row r="75" spans="1:17" ht="19.5" customHeight="1">
      <c r="A75" s="237" t="s">
        <v>36</v>
      </c>
      <c r="B75" s="237" t="str">
        <f>VLOOKUP(A75,門市主檔!A:B,2,FALSE)</f>
        <v>三重重新店</v>
      </c>
      <c r="C75" s="359" t="str">
        <f>IF(COUNTIFS(IM!$F:$F,A75,IM!$AD:$AD,"O",IM!$X:$X,"&gt;="&amp;$R$1, IM!$X:$X,"&lt;="&amp;$S$1)&gt;0,"V","")</f>
        <v>V</v>
      </c>
      <c r="D75" s="359" t="str">
        <f>IF(AND(C75&lt;&gt;"V", COUNTIFS(IM!$F:$F,A75, IM!$AD:$AD, "O", IM!$X:$X, "&gt;="&amp;$R$2, IM!$X:$X, "&lt;="&amp;$S$2)&gt;0), "V", "")</f>
        <v/>
      </c>
      <c r="E75" s="359" t="str">
        <f>IF(AND(C75&lt;&gt;"V",D75&lt;&gt;"V", COUNTIFS(IM!$F:$F, A75, IM!$AD:$AD, "O", IM!$X:$X, "&gt;="&amp;$R$3, IM!$X:$X, "&lt;="&amp;$S$3)&gt;0), "V", "")</f>
        <v/>
      </c>
      <c r="F75" s="237" t="str">
        <f t="shared" si="3"/>
        <v/>
      </c>
      <c r="G75" s="237" t="str">
        <f>IF(AND(VLOOKUP(A75,門市主檔!A:Y,25,FALSE)="STAR", VLOOKUP(A75,門市主檔!A:N,14,FALSE)=""), "未更換", IF(VLOOKUP(A75,門市主檔!A:Y,25,FALSE)&lt;&gt;"STAR", "無專案", "已更換"))</f>
        <v>已更換</v>
      </c>
      <c r="H75" s="343">
        <f>VLOOKUP(A75,門市主檔!A:U,21,FALSE)</f>
        <v>2</v>
      </c>
      <c r="I75" s="237" t="str">
        <f>VLOOKUP(A75,'0919門市清單主檔'!B:V,21,FALSE)</f>
        <v>三重區</v>
      </c>
      <c r="J75" s="249">
        <v>45665.479166666664</v>
      </c>
      <c r="K75" s="238"/>
      <c r="L75" s="238"/>
      <c r="M75" s="238"/>
      <c r="N75" s="238"/>
      <c r="O75" s="238"/>
      <c r="P75" s="215" t="s">
        <v>55</v>
      </c>
      <c r="Q75" s="245" t="s">
        <v>4120</v>
      </c>
    </row>
    <row r="76" spans="1:17" ht="19.5" customHeight="1">
      <c r="A76" s="237">
        <v>4084</v>
      </c>
      <c r="B76" s="237" t="str">
        <f>VLOOKUP(A76,門市主檔!A:B,2,FALSE)</f>
        <v>三重昌隆店</v>
      </c>
      <c r="C76" s="359" t="str">
        <f>IF(COUNTIFS(IM!$F:$F,A76,IM!$AD:$AD,"O",IM!$X:$X,"&gt;="&amp;$R$1, IM!$X:$X,"&lt;="&amp;$S$1)&gt;0,"V","")</f>
        <v>V</v>
      </c>
      <c r="D76" s="359" t="str">
        <f>IF(AND(C76&lt;&gt;"V", COUNTIFS(IM!$F:$F,A76, IM!$AD:$AD, "O", IM!$X:$X, "&gt;="&amp;$R$2, IM!$X:$X, "&lt;="&amp;$S$2)&gt;0), "V", "")</f>
        <v/>
      </c>
      <c r="E76" s="359" t="str">
        <f>IF(AND(C76&lt;&gt;"V",D76&lt;&gt;"V", COUNTIFS(IM!$F:$F, A76, IM!$AD:$AD, "O", IM!$X:$X, "&gt;="&amp;$R$3, IM!$X:$X, "&lt;="&amp;$S$3)&gt;0), "V", "")</f>
        <v/>
      </c>
      <c r="F76" s="237" t="str">
        <f t="shared" si="3"/>
        <v/>
      </c>
      <c r="G76" s="237" t="str">
        <f>IF(AND(VLOOKUP(A76,門市主檔!A:Y,25,FALSE)="STAR", VLOOKUP(A76,門市主檔!A:N,14,FALSE)=""), "未更換", IF(VLOOKUP(A76,門市主檔!A:Y,25,FALSE)&lt;&gt;"STAR", "無專案", "已更換"))</f>
        <v>已更換</v>
      </c>
      <c r="H76" s="343">
        <f>VLOOKUP(A76,門市主檔!A:U,21,FALSE)</f>
        <v>2</v>
      </c>
      <c r="I76" s="237" t="str">
        <f>VLOOKUP(A76,'0919門市清單主檔'!B:V,21,FALSE)</f>
        <v>三重區</v>
      </c>
      <c r="J76" s="249">
        <v>45665.5</v>
      </c>
      <c r="K76" s="238"/>
      <c r="L76" s="238"/>
      <c r="M76" s="238"/>
      <c r="N76" s="238"/>
      <c r="O76" s="238"/>
      <c r="P76" s="215" t="s">
        <v>55</v>
      </c>
      <c r="Q76" s="245" t="s">
        <v>4120</v>
      </c>
    </row>
    <row r="77" spans="1:17" ht="19.5" customHeight="1">
      <c r="A77" s="237">
        <v>4134</v>
      </c>
      <c r="B77" s="237" t="str">
        <f>VLOOKUP(A77,門市主檔!A:B,2,FALSE)</f>
        <v>三重大同南</v>
      </c>
      <c r="C77" s="359" t="str">
        <f>IF(COUNTIFS(IM!$F:$F,A77,IM!$AD:$AD,"O",IM!$X:$X,"&gt;="&amp;$R$1, IM!$X:$X,"&lt;="&amp;$S$1)&gt;0,"V","")</f>
        <v/>
      </c>
      <c r="D77" s="359" t="str">
        <f>IF(AND(C77&lt;&gt;"V", COUNTIFS(IM!$F:$F,A77, IM!$AD:$AD, "O", IM!$X:$X, "&gt;="&amp;$R$2, IM!$X:$X, "&lt;="&amp;$S$2)&gt;0), "V", "")</f>
        <v/>
      </c>
      <c r="E77" s="359" t="str">
        <f>IF(AND(C77&lt;&gt;"V",D77&lt;&gt;"V", COUNTIFS(IM!$F:$F, A77, IM!$AD:$AD, "O", IM!$X:$X, "&gt;="&amp;$R$3, IM!$X:$X, "&lt;="&amp;$S$3)&gt;0), "V", "")</f>
        <v/>
      </c>
      <c r="F77" s="237" t="str">
        <f t="shared" si="3"/>
        <v>未保養</v>
      </c>
      <c r="G77" s="237" t="str">
        <f>IF(AND(VLOOKUP(A77,門市主檔!A:Y,25,FALSE)="STAR", VLOOKUP(A77,門市主檔!A:N,14,FALSE)=""), "未更換", IF(VLOOKUP(A77,門市主檔!A:Y,25,FALSE)&lt;&gt;"STAR", "無專案", "已更換"))</f>
        <v>未更換</v>
      </c>
      <c r="H77" s="343">
        <f>VLOOKUP(A77,門市主檔!A:U,21,FALSE)</f>
        <v>2</v>
      </c>
      <c r="I77" s="237" t="str">
        <f>VLOOKUP(A77,'0919門市清單主檔'!B:V,21,FALSE)</f>
        <v>三重區</v>
      </c>
      <c r="J77" s="249">
        <v>45665.615277777775</v>
      </c>
      <c r="K77" s="238"/>
      <c r="L77" s="238"/>
      <c r="M77" s="238"/>
      <c r="N77" s="238"/>
      <c r="O77" s="238"/>
      <c r="P77" s="215" t="s">
        <v>55</v>
      </c>
      <c r="Q77" s="245" t="s">
        <v>4120</v>
      </c>
    </row>
    <row r="78" spans="1:17" ht="19.5" customHeight="1">
      <c r="A78" s="237" t="s">
        <v>40</v>
      </c>
      <c r="B78" s="237" t="str">
        <f>VLOOKUP(A78,門市主檔!A:B,2,FALSE)</f>
        <v>北縣中陽店</v>
      </c>
      <c r="C78" s="359" t="str">
        <f>IF(COUNTIFS(IM!$F:$F,A78,IM!$AD:$AD,"O",IM!$X:$X,"&gt;="&amp;$R$1, IM!$X:$X,"&lt;="&amp;$S$1)&gt;0,"V","")</f>
        <v/>
      </c>
      <c r="D78" s="359" t="str">
        <f>IF(AND(C78&lt;&gt;"V", COUNTIFS(IM!$F:$F,A78, IM!$AD:$AD, "O", IM!$X:$X, "&gt;="&amp;$R$2, IM!$X:$X, "&lt;="&amp;$S$2)&gt;0), "V", "")</f>
        <v/>
      </c>
      <c r="E78" s="359" t="str">
        <f>IF(AND(C78&lt;&gt;"V",D78&lt;&gt;"V", COUNTIFS(IM!$F:$F, A78, IM!$AD:$AD, "O", IM!$X:$X, "&gt;="&amp;$R$3, IM!$X:$X, "&lt;="&amp;$S$3)&gt;0), "V", "")</f>
        <v/>
      </c>
      <c r="F78" s="237" t="str">
        <f t="shared" si="3"/>
        <v>未保養</v>
      </c>
      <c r="G78" s="237" t="str">
        <f>IF(AND(VLOOKUP(A78,門市主檔!A:Y,25,FALSE)="STAR", VLOOKUP(A78,門市主檔!A:N,14,FALSE)=""), "未更換", IF(VLOOKUP(A78,門市主檔!A:Y,25,FALSE)&lt;&gt;"STAR", "無專案", "已更換"))</f>
        <v>未更換</v>
      </c>
      <c r="H78" s="343">
        <f>VLOOKUP(A78,門市主檔!A:U,21,FALSE)</f>
        <v>2</v>
      </c>
      <c r="I78" s="237" t="str">
        <f>VLOOKUP(A78,'0919門市清單主檔'!B:V,21,FALSE)</f>
        <v>三重區</v>
      </c>
      <c r="J78" s="249">
        <v>45665.673611111109</v>
      </c>
      <c r="K78" s="238"/>
      <c r="L78" s="238"/>
      <c r="M78" s="238"/>
      <c r="N78" s="238"/>
      <c r="O78" s="238"/>
      <c r="P78" s="215"/>
      <c r="Q78" s="245" t="s">
        <v>4120</v>
      </c>
    </row>
    <row r="79" spans="1:17" ht="19.5" customHeight="1">
      <c r="A79" s="237" t="s">
        <v>18</v>
      </c>
      <c r="B79" s="237" t="str">
        <f>VLOOKUP(A79,門市主檔!A:B,2,FALSE)</f>
        <v>三重溪尾店</v>
      </c>
      <c r="C79" s="359" t="str">
        <f>IF(COUNTIFS(IM!$F:$F,A79,IM!$AD:$AD,"O",IM!$X:$X,"&gt;="&amp;$R$1, IM!$X:$X,"&lt;="&amp;$S$1)&gt;0,"V","")</f>
        <v/>
      </c>
      <c r="D79" s="359" t="str">
        <f>IF(AND(C79&lt;&gt;"V", COUNTIFS(IM!$F:$F,A79, IM!$AD:$AD, "O", IM!$X:$X, "&gt;="&amp;$R$2, IM!$X:$X, "&lt;="&amp;$S$2)&gt;0), "V", "")</f>
        <v/>
      </c>
      <c r="E79" s="359" t="str">
        <f>IF(AND(C79&lt;&gt;"V",D79&lt;&gt;"V", COUNTIFS(IM!$F:$F, A79, IM!$AD:$AD, "O", IM!$X:$X, "&gt;="&amp;$R$3, IM!$X:$X, "&lt;="&amp;$S$3)&gt;0), "V", "")</f>
        <v/>
      </c>
      <c r="F79" s="237" t="str">
        <f t="shared" si="3"/>
        <v>未保養</v>
      </c>
      <c r="G79" s="237" t="str">
        <f>IF(AND(VLOOKUP(A79,門市主檔!A:Y,25,FALSE)="STAR", VLOOKUP(A79,門市主檔!A:N,14,FALSE)=""), "未更換", IF(VLOOKUP(A79,門市主檔!A:Y,25,FALSE)&lt;&gt;"STAR", "無專案", "已更換"))</f>
        <v>無專案</v>
      </c>
      <c r="H79" s="343">
        <f>VLOOKUP(A79,門市主檔!A:U,21,FALSE)</f>
        <v>0</v>
      </c>
      <c r="I79" s="237" t="str">
        <f>VLOOKUP(A79,'0919門市清單主檔'!B:V,21,FALSE)</f>
        <v>三重區</v>
      </c>
      <c r="J79" s="249">
        <v>45691.513888888891</v>
      </c>
      <c r="K79" s="238"/>
      <c r="L79" s="238"/>
      <c r="M79" s="238"/>
      <c r="N79" s="238"/>
      <c r="O79" s="238"/>
      <c r="P79" s="215" t="s">
        <v>55</v>
      </c>
      <c r="Q79" s="245" t="s">
        <v>4120</v>
      </c>
    </row>
    <row r="80" spans="1:17" ht="19.5" customHeight="1">
      <c r="A80" s="237">
        <v>4977</v>
      </c>
      <c r="B80" s="237" t="str">
        <f>VLOOKUP(A80,門市主檔!A:B,2,FALSE)</f>
        <v>三重初戀店</v>
      </c>
      <c r="C80" s="359" t="str">
        <f>IF(COUNTIFS(IM!$F:$F,A80,IM!$AD:$AD,"O",IM!$X:$X,"&gt;="&amp;$R$1, IM!$X:$X,"&lt;="&amp;$S$1)&gt;0,"V","")</f>
        <v/>
      </c>
      <c r="D80" s="359" t="str">
        <f>IF(AND(C80&lt;&gt;"V", COUNTIFS(IM!$F:$F,A80, IM!$AD:$AD, "O", IM!$X:$X, "&gt;="&amp;$R$2, IM!$X:$X, "&lt;="&amp;$S$2)&gt;0), "V", "")</f>
        <v/>
      </c>
      <c r="E80" s="359" t="str">
        <f>IF(AND(C80&lt;&gt;"V",D80&lt;&gt;"V", COUNTIFS(IM!$F:$F, A80, IM!$AD:$AD, "O", IM!$X:$X, "&gt;="&amp;$R$3, IM!$X:$X, "&lt;="&amp;$S$3)&gt;0), "V", "")</f>
        <v/>
      </c>
      <c r="F80" s="237" t="str">
        <f t="shared" si="3"/>
        <v>未保養</v>
      </c>
      <c r="G80" s="237" t="str">
        <f>IF(AND(VLOOKUP(A80,門市主檔!A:Y,25,FALSE)="STAR", VLOOKUP(A80,門市主檔!A:N,14,FALSE)=""), "未更換", IF(VLOOKUP(A80,門市主檔!A:Y,25,FALSE)&lt;&gt;"STAR", "無專案", "已更換"))</f>
        <v>已更換</v>
      </c>
      <c r="H80" s="343">
        <f>VLOOKUP(A80,門市主檔!A:U,21,FALSE)</f>
        <v>2</v>
      </c>
      <c r="I80" s="237" t="str">
        <f>VLOOKUP(A80,'0919門市清單主檔'!B:V,21,FALSE)</f>
        <v>三重區</v>
      </c>
      <c r="J80" s="249">
        <v>45691.67083333333</v>
      </c>
      <c r="K80" s="238"/>
      <c r="L80" s="238"/>
      <c r="M80" s="238"/>
      <c r="N80" s="238"/>
      <c r="O80" s="238"/>
      <c r="P80" s="215" t="s">
        <v>55</v>
      </c>
      <c r="Q80" s="245" t="s">
        <v>4120</v>
      </c>
    </row>
    <row r="81" spans="1:17" ht="19.5" customHeight="1">
      <c r="A81" s="237">
        <v>3359</v>
      </c>
      <c r="B81" s="237" t="str">
        <f>VLOOKUP(A81,門市主檔!A:B,2,FALSE)</f>
        <v>三重金陵店</v>
      </c>
      <c r="C81" s="359" t="str">
        <f>IF(COUNTIFS(IM!$F:$F,A81,IM!$AD:$AD,"O",IM!$X:$X,"&gt;="&amp;$R$1, IM!$X:$X,"&lt;="&amp;$S$1)&gt;0,"V","")</f>
        <v/>
      </c>
      <c r="D81" s="359" t="str">
        <f>IF(AND(C81&lt;&gt;"V", COUNTIFS(IM!$F:$F,A81, IM!$AD:$AD, "O", IM!$X:$X, "&gt;="&amp;$R$2, IM!$X:$X, "&lt;="&amp;$S$2)&gt;0), "V", "")</f>
        <v/>
      </c>
      <c r="E81" s="359" t="str">
        <f>IF(AND(C81&lt;&gt;"V",D81&lt;&gt;"V", COUNTIFS(IM!$F:$F, A81, IM!$AD:$AD, "O", IM!$X:$X, "&gt;="&amp;$R$3, IM!$X:$X, "&lt;="&amp;$S$3)&gt;0), "V", "")</f>
        <v/>
      </c>
      <c r="F81" s="237" t="str">
        <f t="shared" si="3"/>
        <v>未保養</v>
      </c>
      <c r="G81" s="237" t="str">
        <f>IF(AND(VLOOKUP(A81,門市主檔!A:Y,25,FALSE)="STAR", VLOOKUP(A81,門市主檔!A:N,14,FALSE)=""), "未更換", IF(VLOOKUP(A81,門市主檔!A:Y,25,FALSE)&lt;&gt;"STAR", "無專案", "已更換"))</f>
        <v>未更換</v>
      </c>
      <c r="H81" s="343">
        <f>VLOOKUP(A81,門市主檔!A:U,21,FALSE)</f>
        <v>2</v>
      </c>
      <c r="I81" s="237" t="str">
        <f>VLOOKUP(A81,'0919門市清單主檔'!B:V,21,FALSE)</f>
        <v>三重區</v>
      </c>
      <c r="J81" s="249">
        <v>45691.614583333336</v>
      </c>
      <c r="K81" s="238"/>
      <c r="L81" s="238"/>
      <c r="M81" s="238"/>
      <c r="N81" s="238"/>
      <c r="O81" s="238"/>
      <c r="P81" s="215"/>
      <c r="Q81" s="245" t="s">
        <v>4120</v>
      </c>
    </row>
    <row r="82" spans="1:17" ht="19.5" customHeight="1">
      <c r="A82" s="237" t="s">
        <v>25</v>
      </c>
      <c r="B82" s="237" t="str">
        <f>VLOOKUP(A82,門市主檔!A:B,2,FALSE)</f>
        <v>三重興德店</v>
      </c>
      <c r="C82" s="359" t="str">
        <f>IF(COUNTIFS(IM!$F:$F,A82,IM!$AD:$AD,"O",IM!$X:$X,"&gt;="&amp;$R$1, IM!$X:$X,"&lt;="&amp;$S$1)&gt;0,"V","")</f>
        <v/>
      </c>
      <c r="D82" s="359" t="str">
        <f>IF(AND(C82&lt;&gt;"V", COUNTIFS(IM!$F:$F,A82, IM!$AD:$AD, "O", IM!$X:$X, "&gt;="&amp;$R$2, IM!$X:$X, "&lt;="&amp;$S$2)&gt;0), "V", "")</f>
        <v/>
      </c>
      <c r="E82" s="359" t="str">
        <f>IF(AND(C82&lt;&gt;"V",D82&lt;&gt;"V", COUNTIFS(IM!$F:$F, A82, IM!$AD:$AD, "O", IM!$X:$X, "&gt;="&amp;$R$3, IM!$X:$X, "&lt;="&amp;$S$3)&gt;0), "V", "")</f>
        <v/>
      </c>
      <c r="F82" s="237" t="str">
        <f t="shared" si="3"/>
        <v>未保養</v>
      </c>
      <c r="G82" s="237" t="str">
        <f>IF(AND(VLOOKUP(A82,門市主檔!A:Y,25,FALSE)="STAR", VLOOKUP(A82,門市主檔!A:N,14,FALSE)=""), "未更換", IF(VLOOKUP(A82,門市主檔!A:Y,25,FALSE)&lt;&gt;"STAR", "無專案", "已更換"))</f>
        <v>未更換</v>
      </c>
      <c r="H82" s="343">
        <f>VLOOKUP(A82,門市主檔!A:U,21,FALSE)</f>
        <v>2</v>
      </c>
      <c r="I82" s="237" t="str">
        <f>VLOOKUP(A82,'0919門市清單主檔'!B:V,21,FALSE)</f>
        <v>三重區</v>
      </c>
      <c r="J82" s="249">
        <v>45691.65</v>
      </c>
      <c r="K82" s="238"/>
      <c r="L82" s="238"/>
      <c r="M82" s="238"/>
      <c r="N82" s="238"/>
      <c r="O82" s="238"/>
      <c r="P82" s="215"/>
      <c r="Q82" s="245" t="s">
        <v>4120</v>
      </c>
    </row>
    <row r="83" spans="1:17" ht="19.5" customHeight="1">
      <c r="A83" s="237">
        <v>4652</v>
      </c>
      <c r="B83" s="237" t="str">
        <f>VLOOKUP(A83,門市主檔!A:B,2,FALSE)</f>
        <v>三重天富店</v>
      </c>
      <c r="C83" s="359" t="str">
        <f>IF(COUNTIFS(IM!$F:$F,A83,IM!$AD:$AD,"O",IM!$X:$X,"&gt;="&amp;$R$1, IM!$X:$X,"&lt;="&amp;$S$1)&gt;0,"V","")</f>
        <v/>
      </c>
      <c r="D83" s="359" t="str">
        <f>IF(AND(C83&lt;&gt;"V", COUNTIFS(IM!$F:$F,A83, IM!$AD:$AD, "O", IM!$X:$X, "&gt;="&amp;$R$2, IM!$X:$X, "&lt;="&amp;$S$2)&gt;0), "V", "")</f>
        <v/>
      </c>
      <c r="E83" s="359" t="str">
        <f>IF(AND(C83&lt;&gt;"V",D83&lt;&gt;"V", COUNTIFS(IM!$F:$F, A83, IM!$AD:$AD, "O", IM!$X:$X, "&gt;="&amp;$R$3, IM!$X:$X, "&lt;="&amp;$S$3)&gt;0), "V", "")</f>
        <v/>
      </c>
      <c r="F83" s="237" t="str">
        <f t="shared" si="3"/>
        <v>未保養</v>
      </c>
      <c r="G83" s="237" t="str">
        <f>IF(AND(VLOOKUP(A83,門市主檔!A:Y,25,FALSE)="STAR", VLOOKUP(A83,門市主檔!A:N,14,FALSE)=""), "未更換", IF(VLOOKUP(A83,門市主檔!A:Y,25,FALSE)&lt;&gt;"STAR", "無專案", "已更換"))</f>
        <v>無專案</v>
      </c>
      <c r="H83" s="343">
        <f>VLOOKUP(A83,門市主檔!A:U,21,FALSE)</f>
        <v>0</v>
      </c>
      <c r="I83" s="237" t="str">
        <f>VLOOKUP(A83,'0919門市清單主檔'!B:V,21,FALSE)</f>
        <v>三重區</v>
      </c>
      <c r="J83" s="249">
        <v>45673.659722222219</v>
      </c>
      <c r="K83" s="238"/>
      <c r="L83" s="238"/>
      <c r="M83" s="238"/>
      <c r="N83" s="238"/>
      <c r="O83" s="238"/>
      <c r="P83" s="215" t="s">
        <v>55</v>
      </c>
      <c r="Q83" s="245" t="s">
        <v>4120</v>
      </c>
    </row>
    <row r="84" spans="1:17" ht="19.5" customHeight="1">
      <c r="A84" s="237">
        <v>4101</v>
      </c>
      <c r="B84" s="237" t="str">
        <f>VLOOKUP(A84,門市主檔!A:B,2,FALSE)</f>
        <v>三重溪華店</v>
      </c>
      <c r="C84" s="359" t="str">
        <f>IF(COUNTIFS(IM!$F:$F,A84,IM!$AD:$AD,"O",IM!$X:$X,"&gt;="&amp;$R$1, IM!$X:$X,"&lt;="&amp;$S$1)&gt;0,"V","")</f>
        <v/>
      </c>
      <c r="D84" s="359" t="str">
        <f>IF(AND(C84&lt;&gt;"V", COUNTIFS(IM!$F:$F,A84, IM!$AD:$AD, "O", IM!$X:$X, "&gt;="&amp;$R$2, IM!$X:$X, "&lt;="&amp;$S$2)&gt;0), "V", "")</f>
        <v/>
      </c>
      <c r="E84" s="359" t="str">
        <f>IF(AND(C84&lt;&gt;"V",D84&lt;&gt;"V", COUNTIFS(IM!$F:$F, A84, IM!$AD:$AD, "O", IM!$X:$X, "&gt;="&amp;$R$3, IM!$X:$X, "&lt;="&amp;$S$3)&gt;0), "V", "")</f>
        <v/>
      </c>
      <c r="F84" s="237" t="str">
        <f t="shared" si="3"/>
        <v>未保養</v>
      </c>
      <c r="G84" s="237" t="str">
        <f>IF(AND(VLOOKUP(A84,門市主檔!A:Y,25,FALSE)="STAR", VLOOKUP(A84,門市主檔!A:N,14,FALSE)=""), "未更換", IF(VLOOKUP(A84,門市主檔!A:Y,25,FALSE)&lt;&gt;"STAR", "無專案", "已更換"))</f>
        <v>無專案</v>
      </c>
      <c r="H84" s="343">
        <f>VLOOKUP(A84,門市主檔!A:U,21,FALSE)</f>
        <v>0</v>
      </c>
      <c r="I84" s="237" t="str">
        <f>VLOOKUP(A84,'0919門市清單主檔'!B:V,21,FALSE)</f>
        <v>三重區</v>
      </c>
      <c r="J84" s="249">
        <v>45691.489583333336</v>
      </c>
      <c r="K84" s="238"/>
      <c r="L84" s="238"/>
      <c r="M84" s="238"/>
      <c r="N84" s="238"/>
      <c r="O84" s="238"/>
      <c r="P84" s="215" t="s">
        <v>55</v>
      </c>
      <c r="Q84" s="245" t="s">
        <v>4120</v>
      </c>
    </row>
    <row r="85" spans="1:17" ht="19.5" customHeight="1">
      <c r="A85" s="237">
        <v>2399</v>
      </c>
      <c r="B85" s="237" t="str">
        <f>VLOOKUP(A85,門市主檔!A:B,2,FALSE)</f>
        <v>三重三陽店</v>
      </c>
      <c r="C85" s="359" t="str">
        <f>IF(COUNTIFS(IM!$F:$F,A85,IM!$AD:$AD,"O",IM!$X:$X,"&gt;="&amp;$R$1, IM!$X:$X,"&lt;="&amp;$S$1)&gt;0,"V","")</f>
        <v/>
      </c>
      <c r="D85" s="359" t="str">
        <f>IF(AND(C85&lt;&gt;"V", COUNTIFS(IM!$F:$F,A85, IM!$AD:$AD, "O", IM!$X:$X, "&gt;="&amp;$R$2, IM!$X:$X, "&lt;="&amp;$S$2)&gt;0), "V", "")</f>
        <v/>
      </c>
      <c r="E85" s="359" t="str">
        <f>IF(AND(C85&lt;&gt;"V",D85&lt;&gt;"V", COUNTIFS(IM!$F:$F, A85, IM!$AD:$AD, "O", IM!$X:$X, "&gt;="&amp;$R$3, IM!$X:$X, "&lt;="&amp;$S$3)&gt;0), "V", "")</f>
        <v/>
      </c>
      <c r="F85" s="237" t="str">
        <f t="shared" si="3"/>
        <v>未保養</v>
      </c>
      <c r="G85" s="237" t="str">
        <f>IF(AND(VLOOKUP(A85,門市主檔!A:Y,25,FALSE)="STAR", VLOOKUP(A85,門市主檔!A:N,14,FALSE)=""), "未更換", IF(VLOOKUP(A85,門市主檔!A:Y,25,FALSE)&lt;&gt;"STAR", "無專案", "已更換"))</f>
        <v>無專案</v>
      </c>
      <c r="H85" s="343">
        <f>VLOOKUP(A85,門市主檔!A:U,21,FALSE)</f>
        <v>0</v>
      </c>
      <c r="I85" s="237" t="str">
        <f>VLOOKUP(A85,'0919門市清單主檔'!B:V,21,FALSE)</f>
        <v>三重區</v>
      </c>
      <c r="J85" s="249">
        <v>45673.697916666664</v>
      </c>
      <c r="K85" s="238"/>
      <c r="L85" s="238"/>
      <c r="M85" s="238"/>
      <c r="N85" s="238"/>
      <c r="O85" s="238"/>
      <c r="P85" s="215"/>
      <c r="Q85" s="245" t="s">
        <v>4120</v>
      </c>
    </row>
    <row r="86" spans="1:17" ht="19.5" customHeight="1">
      <c r="A86" s="237" t="s">
        <v>23</v>
      </c>
      <c r="B86" s="237" t="str">
        <f>VLOOKUP(A86,門市主檔!A:B,2,FALSE)</f>
        <v>三重中興北二</v>
      </c>
      <c r="C86" s="359" t="str">
        <f>IF(COUNTIFS(IM!$F:$F,A86,IM!$AD:$AD,"O",IM!$X:$X,"&gt;="&amp;$R$1, IM!$X:$X,"&lt;="&amp;$S$1)&gt;0,"V","")</f>
        <v/>
      </c>
      <c r="D86" s="359" t="str">
        <f>IF(AND(C86&lt;&gt;"V", COUNTIFS(IM!$F:$F,A86, IM!$AD:$AD, "O", IM!$X:$X, "&gt;="&amp;$R$2, IM!$X:$X, "&lt;="&amp;$S$2)&gt;0), "V", "")</f>
        <v/>
      </c>
      <c r="E86" s="359" t="str">
        <f>IF(AND(C86&lt;&gt;"V",D86&lt;&gt;"V", COUNTIFS(IM!$F:$F, A86, IM!$AD:$AD, "O", IM!$X:$X, "&gt;="&amp;$R$3, IM!$X:$X, "&lt;="&amp;$S$3)&gt;0), "V", "")</f>
        <v/>
      </c>
      <c r="F86" s="237" t="str">
        <f t="shared" si="3"/>
        <v>未保養</v>
      </c>
      <c r="G86" s="237" t="str">
        <f>IF(AND(VLOOKUP(A86,門市主檔!A:Y,25,FALSE)="STAR", VLOOKUP(A86,門市主檔!A:N,14,FALSE)=""), "未更換", IF(VLOOKUP(A86,門市主檔!A:Y,25,FALSE)&lt;&gt;"STAR", "無專案", "已更換"))</f>
        <v>未更換</v>
      </c>
      <c r="H86" s="343">
        <f>VLOOKUP(A86,門市主檔!A:U,21,FALSE)</f>
        <v>2</v>
      </c>
      <c r="I86" s="237" t="str">
        <f>VLOOKUP(A86,'0919門市清單主檔'!B:V,21,FALSE)</f>
        <v>三重區</v>
      </c>
      <c r="J86" s="249">
        <v>45695.630555555559</v>
      </c>
      <c r="K86" s="238"/>
      <c r="L86" s="238"/>
      <c r="M86" s="238"/>
      <c r="N86" s="238"/>
      <c r="O86" s="238"/>
      <c r="P86" s="215"/>
      <c r="Q86" s="245" t="s">
        <v>4120</v>
      </c>
    </row>
    <row r="87" spans="1:17" ht="19.5" customHeight="1">
      <c r="A87" s="237">
        <v>4083</v>
      </c>
      <c r="B87" s="237" t="str">
        <f>VLOOKUP(A87,門市主檔!A:B,2,FALSE)</f>
        <v>三重中央南</v>
      </c>
      <c r="C87" s="359" t="str">
        <f>IF(COUNTIFS(IM!$F:$F,A87,IM!$AD:$AD,"O",IM!$X:$X,"&gt;="&amp;$R$1, IM!$X:$X,"&lt;="&amp;$S$1)&gt;0,"V","")</f>
        <v/>
      </c>
      <c r="D87" s="359" t="str">
        <f>IF(AND(C87&lt;&gt;"V", COUNTIFS(IM!$F:$F,A87, IM!$AD:$AD, "O", IM!$X:$X, "&gt;="&amp;$R$2, IM!$X:$X, "&lt;="&amp;$S$2)&gt;0), "V", "")</f>
        <v/>
      </c>
      <c r="E87" s="359" t="str">
        <f>IF(AND(C87&lt;&gt;"V",D87&lt;&gt;"V", COUNTIFS(IM!$F:$F, A87, IM!$AD:$AD, "O", IM!$X:$X, "&gt;="&amp;$R$3, IM!$X:$X, "&lt;="&amp;$S$3)&gt;0), "V", "")</f>
        <v/>
      </c>
      <c r="F87" s="237" t="str">
        <f t="shared" si="3"/>
        <v>未保養</v>
      </c>
      <c r="G87" s="237" t="str">
        <f>IF(AND(VLOOKUP(A87,門市主檔!A:Y,25,FALSE)="STAR", VLOOKUP(A87,門市主檔!A:N,14,FALSE)=""), "未更換", IF(VLOOKUP(A87,門市主檔!A:Y,25,FALSE)&lt;&gt;"STAR", "無專案", "已更換"))</f>
        <v>未更換</v>
      </c>
      <c r="H87" s="343">
        <f>VLOOKUP(A87,門市主檔!A:U,21,FALSE)</f>
        <v>2</v>
      </c>
      <c r="I87" s="237" t="str">
        <f>VLOOKUP(A87,'0919門市清單主檔'!B:V,21,FALSE)</f>
        <v>三重區</v>
      </c>
      <c r="J87" s="249">
        <v>45694.472222222219</v>
      </c>
      <c r="K87" s="238"/>
      <c r="L87" s="238"/>
      <c r="M87" s="238"/>
      <c r="N87" s="238"/>
      <c r="O87" s="238"/>
      <c r="P87" s="215" t="s">
        <v>55</v>
      </c>
      <c r="Q87" s="245" t="s">
        <v>4120</v>
      </c>
    </row>
    <row r="88" spans="1:17" ht="19.5" customHeight="1">
      <c r="A88" s="237">
        <v>4698</v>
      </c>
      <c r="B88" s="237" t="str">
        <f>VLOOKUP(A88,門市主檔!A:B,2,FALSE)</f>
        <v>三重頂崁店</v>
      </c>
      <c r="C88" s="359" t="str">
        <f>IF(COUNTIFS(IM!$F:$F,A88,IM!$AD:$AD,"O",IM!$X:$X,"&gt;="&amp;$R$1, IM!$X:$X,"&lt;="&amp;$S$1)&gt;0,"V","")</f>
        <v/>
      </c>
      <c r="D88" s="359" t="str">
        <f>IF(AND(C88&lt;&gt;"V", COUNTIFS(IM!$F:$F,A88, IM!$AD:$AD, "O", IM!$X:$X, "&gt;="&amp;$R$2, IM!$X:$X, "&lt;="&amp;$S$2)&gt;0), "V", "")</f>
        <v/>
      </c>
      <c r="E88" s="359" t="str">
        <f>IF(AND(C88&lt;&gt;"V",D88&lt;&gt;"V", COUNTIFS(IM!$F:$F, A88, IM!$AD:$AD, "O", IM!$X:$X, "&gt;="&amp;$R$3, IM!$X:$X, "&lt;="&amp;$S$3)&gt;0), "V", "")</f>
        <v/>
      </c>
      <c r="F88" s="237" t="str">
        <f t="shared" si="3"/>
        <v>未保養</v>
      </c>
      <c r="G88" s="237" t="str">
        <f>IF(AND(VLOOKUP(A88,門市主檔!A:Y,25,FALSE)="STAR", VLOOKUP(A88,門市主檔!A:N,14,FALSE)=""), "未更換", IF(VLOOKUP(A88,門市主檔!A:Y,25,FALSE)&lt;&gt;"STAR", "無專案", "已更換"))</f>
        <v>未更換</v>
      </c>
      <c r="H88" s="343">
        <f>VLOOKUP(A88,門市主檔!A:U,21,FALSE)</f>
        <v>2</v>
      </c>
      <c r="I88" s="237" t="str">
        <f>VLOOKUP(A88,'0919門市清單主檔'!B:V,21,FALSE)</f>
        <v>三重區</v>
      </c>
      <c r="J88" s="249">
        <v>45695.669444444444</v>
      </c>
      <c r="K88" s="238"/>
      <c r="L88" s="238"/>
      <c r="M88" s="238"/>
      <c r="N88" s="238"/>
      <c r="O88" s="238"/>
      <c r="P88" s="215" t="s">
        <v>55</v>
      </c>
      <c r="Q88" s="245" t="s">
        <v>4120</v>
      </c>
    </row>
    <row r="89" spans="1:17" ht="19.5" customHeight="1">
      <c r="A89" s="237" t="s">
        <v>22</v>
      </c>
      <c r="B89" s="237" t="str">
        <f>VLOOKUP(A89,門市主檔!A:B,2,FALSE)</f>
        <v>三重中興北</v>
      </c>
      <c r="C89" s="359" t="str">
        <f>IF(COUNTIFS(IM!$F:$F,A89,IM!$AD:$AD,"O",IM!$X:$X,"&gt;="&amp;$R$1, IM!$X:$X,"&lt;="&amp;$S$1)&gt;0,"V","")</f>
        <v/>
      </c>
      <c r="D89" s="359" t="str">
        <f>IF(AND(C89&lt;&gt;"V", COUNTIFS(IM!$F:$F,A89, IM!$AD:$AD, "O", IM!$X:$X, "&gt;="&amp;$R$2, IM!$X:$X, "&lt;="&amp;$S$2)&gt;0), "V", "")</f>
        <v/>
      </c>
      <c r="E89" s="359" t="str">
        <f>IF(AND(C89&lt;&gt;"V",D89&lt;&gt;"V", COUNTIFS(IM!$F:$F, A89, IM!$AD:$AD, "O", IM!$X:$X, "&gt;="&amp;$R$3, IM!$X:$X, "&lt;="&amp;$S$3)&gt;0), "V", "")</f>
        <v/>
      </c>
      <c r="F89" s="237" t="str">
        <f t="shared" si="3"/>
        <v>未保養</v>
      </c>
      <c r="G89" s="237" t="str">
        <f>IF(AND(VLOOKUP(A89,門市主檔!A:Y,25,FALSE)="STAR", VLOOKUP(A89,門市主檔!A:N,14,FALSE)=""), "未更換", IF(VLOOKUP(A89,門市主檔!A:Y,25,FALSE)&lt;&gt;"STAR", "無專案", "已更換"))</f>
        <v>未更換</v>
      </c>
      <c r="H89" s="343">
        <f>VLOOKUP(A89,門市主檔!A:U,21,FALSE)</f>
        <v>1</v>
      </c>
      <c r="I89" s="237" t="str">
        <f>VLOOKUP(A89,'0919門市清單主檔'!B:V,21,FALSE)</f>
        <v>三重區</v>
      </c>
      <c r="J89" s="249">
        <v>45695.611805555556</v>
      </c>
      <c r="K89" s="238"/>
      <c r="L89" s="238"/>
      <c r="M89" s="238"/>
      <c r="N89" s="238"/>
      <c r="O89" s="238"/>
      <c r="P89" s="215" t="s">
        <v>55</v>
      </c>
      <c r="Q89" s="245" t="s">
        <v>4120</v>
      </c>
    </row>
    <row r="90" spans="1:17" ht="19.5" customHeight="1">
      <c r="A90" s="237">
        <v>4845</v>
      </c>
      <c r="B90" s="237" t="str">
        <f>VLOOKUP(A90,門市主檔!A:B,2,FALSE)</f>
        <v>石門海角店</v>
      </c>
      <c r="C90" s="359" t="str">
        <f>IF(COUNTIFS(IM!$F:$F,A90,IM!$AD:$AD,"O",IM!$X:$X,"&gt;="&amp;$R$1, IM!$X:$X,"&lt;="&amp;$S$1)&gt;0,"V","")</f>
        <v/>
      </c>
      <c r="D90" s="359" t="str">
        <f>IF(AND(C90&lt;&gt;"V", COUNTIFS(IM!$F:$F,A90, IM!$AD:$AD, "O", IM!$X:$X, "&gt;="&amp;$R$2, IM!$X:$X, "&lt;="&amp;$S$2)&gt;0), "V", "")</f>
        <v/>
      </c>
      <c r="E90" s="359" t="str">
        <f>IF(AND(C90&lt;&gt;"V",D90&lt;&gt;"V", COUNTIFS(IM!$F:$F, A90, IM!$AD:$AD, "O", IM!$X:$X, "&gt;="&amp;$R$3, IM!$X:$X, "&lt;="&amp;$S$3)&gt;0), "V", "")</f>
        <v/>
      </c>
      <c r="F90" s="237" t="str">
        <f t="shared" si="3"/>
        <v>未保養</v>
      </c>
      <c r="G90" s="237" t="str">
        <f>IF(AND(VLOOKUP(A90,門市主檔!A:Y,25,FALSE)="STAR", VLOOKUP(A90,門市主檔!A:N,14,FALSE)=""), "未更換", IF(VLOOKUP(A90,門市主檔!A:Y,25,FALSE)&lt;&gt;"STAR", "無專案", "已更換"))</f>
        <v>未更換</v>
      </c>
      <c r="H90" s="343">
        <f>VLOOKUP(A90,門市主檔!A:U,21,FALSE)</f>
        <v>2</v>
      </c>
      <c r="I90" s="237" t="str">
        <f>VLOOKUP(A90,'0919門市清單主檔'!B:V,21,FALSE)</f>
        <v>石門區</v>
      </c>
      <c r="J90" s="249">
        <v>45679.604861111111</v>
      </c>
      <c r="K90" s="238"/>
      <c r="L90" s="238"/>
      <c r="M90" s="238"/>
      <c r="N90" s="238"/>
      <c r="O90" s="238"/>
      <c r="P90" s="215" t="s">
        <v>55</v>
      </c>
      <c r="Q90" s="245" t="s">
        <v>4120</v>
      </c>
    </row>
    <row r="91" spans="1:17" ht="19.5" customHeight="1">
      <c r="A91" s="237">
        <v>2267</v>
      </c>
      <c r="B91" s="237" t="str">
        <f>VLOOKUP(A91,門市主檔!A:B,2,FALSE)</f>
        <v>北縣金陽店</v>
      </c>
      <c r="C91" s="359" t="str">
        <f>IF(COUNTIFS(IM!$F:$F,A91,IM!$AD:$AD,"O",IM!$X:$X,"&gt;="&amp;$R$1, IM!$X:$X,"&lt;="&amp;$S$1)&gt;0,"V","")</f>
        <v/>
      </c>
      <c r="D91" s="359" t="str">
        <f>IF(AND(C91&lt;&gt;"V", COUNTIFS(IM!$F:$F,A91, IM!$AD:$AD, "O", IM!$X:$X, "&gt;="&amp;$R$2, IM!$X:$X, "&lt;="&amp;$S$2)&gt;0), "V", "")</f>
        <v/>
      </c>
      <c r="E91" s="359" t="str">
        <f>IF(AND(C91&lt;&gt;"V",D91&lt;&gt;"V", COUNTIFS(IM!$F:$F, A91, IM!$AD:$AD, "O", IM!$X:$X, "&gt;="&amp;$R$3, IM!$X:$X, "&lt;="&amp;$S$3)&gt;0), "V", "")</f>
        <v/>
      </c>
      <c r="F91" s="237" t="str">
        <f t="shared" si="3"/>
        <v>未保養</v>
      </c>
      <c r="G91" s="237" t="str">
        <f>IF(AND(VLOOKUP(A91,門市主檔!A:Y,25,FALSE)="STAR", VLOOKUP(A91,門市主檔!A:N,14,FALSE)=""), "未更換", IF(VLOOKUP(A91,門市主檔!A:Y,25,FALSE)&lt;&gt;"STAR", "無專案", "已更換"))</f>
        <v>未更換</v>
      </c>
      <c r="H91" s="343">
        <f>VLOOKUP(A91,門市主檔!A:U,21,FALSE)</f>
        <v>2</v>
      </c>
      <c r="I91" s="237" t="str">
        <f>VLOOKUP(A91,'0919門市清單主檔'!B:V,21,FALSE)</f>
        <v>金山區</v>
      </c>
      <c r="J91" s="249">
        <v>45679.558333333334</v>
      </c>
      <c r="K91" s="238"/>
      <c r="L91" s="238"/>
      <c r="M91" s="238"/>
      <c r="N91" s="238"/>
      <c r="O91" s="238"/>
      <c r="P91" s="215" t="s">
        <v>55</v>
      </c>
      <c r="Q91" s="245" t="s">
        <v>4120</v>
      </c>
    </row>
    <row r="92" spans="1:17" ht="19.5" customHeight="1">
      <c r="A92" s="237">
        <v>4906</v>
      </c>
      <c r="B92" s="237" t="str">
        <f>VLOOKUP(A92,門市主檔!A:B,2,FALSE)</f>
        <v>金山銀山店</v>
      </c>
      <c r="C92" s="359" t="str">
        <f>IF(COUNTIFS(IM!$F:$F,A92,IM!$AD:$AD,"O",IM!$X:$X,"&gt;="&amp;$R$1, IM!$X:$X,"&lt;="&amp;$S$1)&gt;0,"V","")</f>
        <v/>
      </c>
      <c r="D92" s="359" t="str">
        <f>IF(AND(C92&lt;&gt;"V", COUNTIFS(IM!$F:$F,A92, IM!$AD:$AD, "O", IM!$X:$X, "&gt;="&amp;$R$2, IM!$X:$X, "&lt;="&amp;$S$2)&gt;0), "V", "")</f>
        <v/>
      </c>
      <c r="E92" s="359" t="str">
        <f>IF(AND(C92&lt;&gt;"V",D92&lt;&gt;"V", COUNTIFS(IM!$F:$F, A92, IM!$AD:$AD, "O", IM!$X:$X, "&gt;="&amp;$R$3, IM!$X:$X, "&lt;="&amp;$S$3)&gt;0), "V", "")</f>
        <v/>
      </c>
      <c r="F92" s="237" t="str">
        <f t="shared" si="3"/>
        <v>未保養</v>
      </c>
      <c r="G92" s="237" t="str">
        <f>IF(AND(VLOOKUP(A92,門市主檔!A:Y,25,FALSE)="STAR", VLOOKUP(A92,門市主檔!A:N,14,FALSE)=""), "未更換", IF(VLOOKUP(A92,門市主檔!A:Y,25,FALSE)&lt;&gt;"STAR", "無專案", "已更換"))</f>
        <v>無專案</v>
      </c>
      <c r="H92" s="343">
        <f>VLOOKUP(A92,門市主檔!A:U,21,FALSE)</f>
        <v>0</v>
      </c>
      <c r="I92" s="237" t="str">
        <f>VLOOKUP(A92,'0919門市清單主檔'!B:V,21,FALSE)</f>
        <v>金山區</v>
      </c>
      <c r="J92" s="249">
        <v>45679.57708333333</v>
      </c>
      <c r="K92" s="238"/>
      <c r="L92" s="238"/>
      <c r="M92" s="238"/>
      <c r="N92" s="238"/>
      <c r="O92" s="238"/>
      <c r="P92" s="215"/>
      <c r="Q92" s="245" t="s">
        <v>4120</v>
      </c>
    </row>
    <row r="93" spans="1:17" ht="19.5" customHeight="1">
      <c r="A93" s="237">
        <v>2897</v>
      </c>
      <c r="B93" s="237" t="str">
        <f>VLOOKUP(A93,門市主檔!A:B,2,FALSE)</f>
        <v>淡水台電宿舍</v>
      </c>
      <c r="C93" s="359" t="str">
        <f>IF(COUNTIFS(IM!$F:$F,A93,IM!$AD:$AD,"O",IM!$X:$X,"&gt;="&amp;$R$1, IM!$X:$X,"&lt;="&amp;$S$1)&gt;0,"V","")</f>
        <v/>
      </c>
      <c r="D93" s="359" t="str">
        <f>IF(AND(C93&lt;&gt;"V", COUNTIFS(IM!$F:$F,A93, IM!$AD:$AD, "O", IM!$X:$X, "&gt;="&amp;$R$2, IM!$X:$X, "&lt;="&amp;$S$2)&gt;0), "V", "")</f>
        <v/>
      </c>
      <c r="E93" s="359" t="str">
        <f>IF(AND(C93&lt;&gt;"V",D93&lt;&gt;"V", COUNTIFS(IM!$F:$F, A93, IM!$AD:$AD, "O", IM!$X:$X, "&gt;="&amp;$R$3, IM!$X:$X, "&lt;="&amp;$S$3)&gt;0), "V", "")</f>
        <v/>
      </c>
      <c r="F93" s="237" t="str">
        <f t="shared" si="3"/>
        <v>未保養</v>
      </c>
      <c r="G93" s="237" t="str">
        <f>IF(AND(VLOOKUP(A93,門市主檔!A:Y,25,FALSE)="STAR", VLOOKUP(A93,門市主檔!A:N,14,FALSE)=""), "未更換", IF(VLOOKUP(A93,門市主檔!A:Y,25,FALSE)&lt;&gt;"STAR", "無專案", "已更換"))</f>
        <v>未更換</v>
      </c>
      <c r="H93" s="343">
        <f>VLOOKUP(A93,門市主檔!A:U,21,FALSE)</f>
        <v>2</v>
      </c>
      <c r="I93" s="237" t="str">
        <f>VLOOKUP(A93,'0919門市清單主檔'!B:V,21,FALSE)</f>
        <v>淡水區</v>
      </c>
      <c r="J93" s="249">
        <v>45730.512499999997</v>
      </c>
      <c r="K93" s="238"/>
      <c r="L93" s="238"/>
      <c r="M93" s="238"/>
      <c r="N93" s="238"/>
      <c r="O93" s="238"/>
      <c r="P93" s="215"/>
      <c r="Q93" s="245" t="s">
        <v>4120</v>
      </c>
    </row>
    <row r="94" spans="1:17" ht="19.5" customHeight="1">
      <c r="A94" s="237">
        <v>4298</v>
      </c>
      <c r="B94" s="237" t="str">
        <f>VLOOKUP(A94,門市主檔!A:B,2,FALSE)</f>
        <v>淡水後洲店</v>
      </c>
      <c r="C94" s="359" t="str">
        <f>IF(COUNTIFS(IM!$F:$F,A94,IM!$AD:$AD,"O",IM!$X:$X,"&gt;="&amp;$R$1, IM!$X:$X,"&lt;="&amp;$S$1)&gt;0,"V","")</f>
        <v/>
      </c>
      <c r="D94" s="359" t="str">
        <f>IF(AND(C94&lt;&gt;"V", COUNTIFS(IM!$F:$F,A94, IM!$AD:$AD, "O", IM!$X:$X, "&gt;="&amp;$R$2, IM!$X:$X, "&lt;="&amp;$S$2)&gt;0), "V", "")</f>
        <v/>
      </c>
      <c r="E94" s="359" t="str">
        <f>IF(AND(C94&lt;&gt;"V",D94&lt;&gt;"V", COUNTIFS(IM!$F:$F, A94, IM!$AD:$AD, "O", IM!$X:$X, "&gt;="&amp;$R$3, IM!$X:$X, "&lt;="&amp;$S$3)&gt;0), "V", "")</f>
        <v/>
      </c>
      <c r="F94" s="237" t="str">
        <f t="shared" si="3"/>
        <v>未保養</v>
      </c>
      <c r="G94" s="237" t="str">
        <f>IF(AND(VLOOKUP(A94,門市主檔!A:Y,25,FALSE)="STAR", VLOOKUP(A94,門市主檔!A:N,14,FALSE)=""), "未更換", IF(VLOOKUP(A94,門市主檔!A:Y,25,FALSE)&lt;&gt;"STAR", "無專案", "已更換"))</f>
        <v>未更換</v>
      </c>
      <c r="H94" s="343">
        <f>VLOOKUP(A94,門市主檔!A:U,21,FALSE)</f>
        <v>2</v>
      </c>
      <c r="I94" s="237" t="str">
        <f>VLOOKUP(A94,'0919門市清單主檔'!B:V,21,FALSE)</f>
        <v>淡水區</v>
      </c>
      <c r="J94" s="249">
        <v>45730.588888888888</v>
      </c>
      <c r="K94" s="238"/>
      <c r="L94" s="238"/>
      <c r="M94" s="238"/>
      <c r="N94" s="238"/>
      <c r="O94" s="238"/>
      <c r="P94" s="215"/>
      <c r="Q94" s="245" t="s">
        <v>4120</v>
      </c>
    </row>
    <row r="95" spans="1:17" ht="19.5" customHeight="1">
      <c r="A95" s="237">
        <v>4788</v>
      </c>
      <c r="B95" s="237" t="str">
        <f>VLOOKUP(A95,門市主檔!A:B,2,FALSE)</f>
        <v>淡水國家店</v>
      </c>
      <c r="C95" s="359" t="str">
        <f>IF(COUNTIFS(IM!$F:$F,A95,IM!$AD:$AD,"O",IM!$X:$X,"&gt;="&amp;$R$1, IM!$X:$X,"&lt;="&amp;$S$1)&gt;0,"V","")</f>
        <v/>
      </c>
      <c r="D95" s="359" t="str">
        <f>IF(AND(C95&lt;&gt;"V", COUNTIFS(IM!$F:$F,A95, IM!$AD:$AD, "O", IM!$X:$X, "&gt;="&amp;$R$2, IM!$X:$X, "&lt;="&amp;$S$2)&gt;0), "V", "")</f>
        <v/>
      </c>
      <c r="E95" s="359" t="str">
        <f>IF(AND(C95&lt;&gt;"V",D95&lt;&gt;"V", COUNTIFS(IM!$F:$F, A95, IM!$AD:$AD, "O", IM!$X:$X, "&gt;="&amp;$R$3, IM!$X:$X, "&lt;="&amp;$S$3)&gt;0), "V", "")</f>
        <v/>
      </c>
      <c r="F95" s="237" t="str">
        <f t="shared" si="3"/>
        <v>未保養</v>
      </c>
      <c r="G95" s="237" t="str">
        <f>IF(AND(VLOOKUP(A95,門市主檔!A:Y,25,FALSE)="STAR", VLOOKUP(A95,門市主檔!A:N,14,FALSE)=""), "未更換", IF(VLOOKUP(A95,門市主檔!A:Y,25,FALSE)&lt;&gt;"STAR", "無專案", "已更換"))</f>
        <v>未更換</v>
      </c>
      <c r="H95" s="343">
        <f>VLOOKUP(A95,門市主檔!A:U,21,FALSE)</f>
        <v>2</v>
      </c>
      <c r="I95" s="237" t="str">
        <f>VLOOKUP(A95,'0919門市清單主檔'!B:V,21,FALSE)</f>
        <v>淡水區</v>
      </c>
      <c r="J95" s="249">
        <v>45730.568055555559</v>
      </c>
      <c r="K95" s="238"/>
      <c r="L95" s="238"/>
      <c r="M95" s="238"/>
      <c r="N95" s="238"/>
      <c r="O95" s="238"/>
      <c r="P95" s="215"/>
      <c r="Q95" s="245" t="s">
        <v>4120</v>
      </c>
    </row>
    <row r="96" spans="1:17" ht="19.5" customHeight="1">
      <c r="A96" s="237">
        <v>5060</v>
      </c>
      <c r="B96" s="237" t="str">
        <f>VLOOKUP(A96,門市主檔!A:B,2,FALSE)</f>
        <v>淡水魚市店</v>
      </c>
      <c r="C96" s="359" t="str">
        <f>IF(COUNTIFS(IM!$F:$F,A96,IM!$AD:$AD,"O",IM!$X:$X,"&gt;="&amp;$R$1, IM!$X:$X,"&lt;="&amp;$S$1)&gt;0,"V","")</f>
        <v/>
      </c>
      <c r="D96" s="359" t="str">
        <f>IF(AND(C96&lt;&gt;"V", COUNTIFS(IM!$F:$F,A96, IM!$AD:$AD, "O", IM!$X:$X, "&gt;="&amp;$R$2, IM!$X:$X, "&lt;="&amp;$S$2)&gt;0), "V", "")</f>
        <v/>
      </c>
      <c r="E96" s="359" t="str">
        <f>IF(AND(C96&lt;&gt;"V",D96&lt;&gt;"V", COUNTIFS(IM!$F:$F, A96, IM!$AD:$AD, "O", IM!$X:$X, "&gt;="&amp;$R$3, IM!$X:$X, "&lt;="&amp;$S$3)&gt;0), "V", "")</f>
        <v/>
      </c>
      <c r="F96" s="237" t="str">
        <f t="shared" si="3"/>
        <v>未保養</v>
      </c>
      <c r="G96" s="237" t="str">
        <f>IF(AND(VLOOKUP(A96,門市主檔!A:Y,25,FALSE)="STAR", VLOOKUP(A96,門市主檔!A:N,14,FALSE)=""), "未更換", IF(VLOOKUP(A96,門市主檔!A:Y,25,FALSE)&lt;&gt;"STAR", "無專案", "已更換"))</f>
        <v>無專案</v>
      </c>
      <c r="H96" s="343">
        <f>VLOOKUP(A96,門市主檔!A:U,21,FALSE)</f>
        <v>0</v>
      </c>
      <c r="I96" s="237" t="str">
        <f>VLOOKUP(A96,'0919門市清單主檔'!B:V,21,FALSE)</f>
        <v>淡水區</v>
      </c>
      <c r="J96" s="249">
        <v>45730.652777777781</v>
      </c>
      <c r="K96" s="238"/>
      <c r="L96" s="238"/>
      <c r="M96" s="238"/>
      <c r="N96" s="238"/>
      <c r="O96" s="238"/>
      <c r="P96" s="215"/>
      <c r="Q96" s="245" t="s">
        <v>4120</v>
      </c>
    </row>
    <row r="97" spans="1:17" ht="19.5" customHeight="1">
      <c r="A97" s="237">
        <v>3751</v>
      </c>
      <c r="B97" s="237" t="str">
        <f>VLOOKUP(A97,門市主檔!A:B,2,FALSE)</f>
        <v>淡水真理大</v>
      </c>
      <c r="C97" s="359" t="str">
        <f>IF(COUNTIFS(IM!$F:$F,A97,IM!$AD:$AD,"O",IM!$X:$X,"&gt;="&amp;$R$1, IM!$X:$X,"&lt;="&amp;$S$1)&gt;0,"V","")</f>
        <v/>
      </c>
      <c r="D97" s="359" t="str">
        <f>IF(AND(C97&lt;&gt;"V", COUNTIFS(IM!$F:$F,A97, IM!$AD:$AD, "O", IM!$X:$X, "&gt;="&amp;$R$2, IM!$X:$X, "&lt;="&amp;$S$2)&gt;0), "V", "")</f>
        <v/>
      </c>
      <c r="E97" s="359" t="str">
        <f>IF(AND(C97&lt;&gt;"V",D97&lt;&gt;"V", COUNTIFS(IM!$F:$F, A97, IM!$AD:$AD, "O", IM!$X:$X, "&gt;="&amp;$R$3, IM!$X:$X, "&lt;="&amp;$S$3)&gt;0), "V", "")</f>
        <v/>
      </c>
      <c r="F97" s="237" t="str">
        <f t="shared" si="3"/>
        <v>未保養</v>
      </c>
      <c r="G97" s="237" t="str">
        <f>IF(AND(VLOOKUP(A97,門市主檔!A:Y,25,FALSE)="STAR", VLOOKUP(A97,門市主檔!A:N,14,FALSE)=""), "未更換", IF(VLOOKUP(A97,門市主檔!A:Y,25,FALSE)&lt;&gt;"STAR", "無專案", "已更換"))</f>
        <v>未更換</v>
      </c>
      <c r="H97" s="343">
        <f>VLOOKUP(A97,門市主檔!A:U,21,FALSE)</f>
        <v>2</v>
      </c>
      <c r="I97" s="237" t="str">
        <f>VLOOKUP(A97,'0919門市清單主檔'!B:V,21,FALSE)</f>
        <v>淡水區</v>
      </c>
      <c r="J97" s="249">
        <v>45723.651388888888</v>
      </c>
      <c r="K97" s="238"/>
      <c r="L97" s="238"/>
      <c r="M97" s="238"/>
      <c r="N97" s="238"/>
      <c r="O97" s="238"/>
      <c r="P97" s="215" t="s">
        <v>55</v>
      </c>
      <c r="Q97" s="245" t="s">
        <v>4120</v>
      </c>
    </row>
    <row r="98" spans="1:17" ht="19.5" customHeight="1">
      <c r="A98" s="237">
        <v>4093</v>
      </c>
      <c r="B98" s="237" t="str">
        <f>VLOOKUP(A98,門市主檔!A:B,2,FALSE)</f>
        <v>淡水新市一</v>
      </c>
      <c r="C98" s="359" t="str">
        <f>IF(COUNTIFS(IM!$F:$F,A98,IM!$AD:$AD,"O",IM!$X:$X,"&gt;="&amp;$R$1, IM!$X:$X,"&lt;="&amp;$S$1)&gt;0,"V","")</f>
        <v/>
      </c>
      <c r="D98" s="359" t="str">
        <f>IF(AND(C98&lt;&gt;"V", COUNTIFS(IM!$F:$F,A98, IM!$AD:$AD, "O", IM!$X:$X, "&gt;="&amp;$R$2, IM!$X:$X, "&lt;="&amp;$S$2)&gt;0), "V", "")</f>
        <v/>
      </c>
      <c r="E98" s="359" t="str">
        <f>IF(AND(C98&lt;&gt;"V",D98&lt;&gt;"V", COUNTIFS(IM!$F:$F, A98, IM!$AD:$AD, "O", IM!$X:$X, "&gt;="&amp;$R$3, IM!$X:$X, "&lt;="&amp;$S$3)&gt;0), "V", "")</f>
        <v/>
      </c>
      <c r="F98" s="237" t="str">
        <f t="shared" si="3"/>
        <v>未保養</v>
      </c>
      <c r="G98" s="237" t="str">
        <f>IF(AND(VLOOKUP(A98,門市主檔!A:Y,25,FALSE)="STAR", VLOOKUP(A98,門市主檔!A:N,14,FALSE)=""), "未更換", IF(VLOOKUP(A98,門市主檔!A:Y,25,FALSE)&lt;&gt;"STAR", "無專案", "已更換"))</f>
        <v>未更換</v>
      </c>
      <c r="H98" s="343">
        <f>VLOOKUP(A98,門市主檔!A:U,21,FALSE)</f>
        <v>1</v>
      </c>
      <c r="I98" s="237" t="str">
        <f>VLOOKUP(A98,'0919門市清單主檔'!B:V,21,FALSE)</f>
        <v>淡水區</v>
      </c>
      <c r="J98" s="249">
        <v>45730.545138888891</v>
      </c>
      <c r="K98" s="238"/>
      <c r="L98" s="238"/>
      <c r="M98" s="238"/>
      <c r="N98" s="238"/>
      <c r="O98" s="238"/>
      <c r="P98" s="215" t="s">
        <v>55</v>
      </c>
      <c r="Q98" s="245" t="s">
        <v>4120</v>
      </c>
    </row>
    <row r="99" spans="1:17" ht="19.5" customHeight="1">
      <c r="A99" s="237">
        <v>4153</v>
      </c>
      <c r="B99" s="237" t="str">
        <f>VLOOKUP(A99,門市主檔!A:B,2,FALSE)</f>
        <v>淡水莊園店</v>
      </c>
      <c r="C99" s="359" t="str">
        <f>IF(COUNTIFS(IM!$F:$F,A99,IM!$AD:$AD,"O",IM!$X:$X,"&gt;="&amp;$R$1, IM!$X:$X,"&lt;="&amp;$S$1)&gt;0,"V","")</f>
        <v/>
      </c>
      <c r="D99" s="359" t="str">
        <f>IF(AND(C99&lt;&gt;"V", COUNTIFS(IM!$F:$F,A99, IM!$AD:$AD, "O", IM!$X:$X, "&gt;="&amp;$R$2, IM!$X:$X, "&lt;="&amp;$S$2)&gt;0), "V", "")</f>
        <v/>
      </c>
      <c r="E99" s="359" t="str">
        <f>IF(AND(C99&lt;&gt;"V",D99&lt;&gt;"V", COUNTIFS(IM!$F:$F, A99, IM!$AD:$AD, "O", IM!$X:$X, "&gt;="&amp;$R$3, IM!$X:$X, "&lt;="&amp;$S$3)&gt;0), "V", "")</f>
        <v/>
      </c>
      <c r="F99" s="237" t="str">
        <f t="shared" si="3"/>
        <v>未保養</v>
      </c>
      <c r="G99" s="237" t="str">
        <f>IF(AND(VLOOKUP(A99,門市主檔!A:Y,25,FALSE)="STAR", VLOOKUP(A99,門市主檔!A:N,14,FALSE)=""), "未更換", IF(VLOOKUP(A99,門市主檔!A:Y,25,FALSE)&lt;&gt;"STAR", "無專案", "已更換"))</f>
        <v>未更換</v>
      </c>
      <c r="H99" s="343">
        <f>VLOOKUP(A99,門市主檔!A:U,21,FALSE)</f>
        <v>2</v>
      </c>
      <c r="I99" s="237" t="str">
        <f>VLOOKUP(A99,'0919門市清單主檔'!B:V,21,FALSE)</f>
        <v>淡水區</v>
      </c>
      <c r="J99" s="249">
        <v>45730.53125</v>
      </c>
      <c r="K99" s="238"/>
      <c r="L99" s="238"/>
      <c r="M99" s="238"/>
      <c r="N99" s="238"/>
      <c r="O99" s="238"/>
      <c r="P99" s="215" t="s">
        <v>55</v>
      </c>
      <c r="Q99" s="245" t="s">
        <v>4120</v>
      </c>
    </row>
    <row r="100" spans="1:17" ht="19.5" customHeight="1">
      <c r="A100" s="237">
        <v>4541</v>
      </c>
      <c r="B100" s="237" t="str">
        <f>VLOOKUP(A100,門市主檔!A:B,2,FALSE)</f>
        <v>淡水海天店</v>
      </c>
      <c r="C100" s="359" t="str">
        <f>IF(COUNTIFS(IM!$F:$F,A100,IM!$AD:$AD,"O",IM!$X:$X,"&gt;="&amp;$R$1, IM!$X:$X,"&lt;="&amp;$S$1)&gt;0,"V","")</f>
        <v/>
      </c>
      <c r="D100" s="359" t="str">
        <f>IF(AND(C100&lt;&gt;"V", COUNTIFS(IM!$F:$F,A100, IM!$AD:$AD, "O", IM!$X:$X, "&gt;="&amp;$R$2, IM!$X:$X, "&lt;="&amp;$S$2)&gt;0), "V", "")</f>
        <v/>
      </c>
      <c r="E100" s="359" t="str">
        <f>IF(AND(C100&lt;&gt;"V",D100&lt;&gt;"V", COUNTIFS(IM!$F:$F, A100, IM!$AD:$AD, "O", IM!$X:$X, "&gt;="&amp;$R$3, IM!$X:$X, "&lt;="&amp;$S$3)&gt;0), "V", "")</f>
        <v/>
      </c>
      <c r="F100" s="237" t="str">
        <f t="shared" si="3"/>
        <v>未保養</v>
      </c>
      <c r="G100" s="237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43">
        <f>VLOOKUP(A100,門市主檔!A:U,21,FALSE)</f>
        <v>0</v>
      </c>
      <c r="I100" s="237" t="str">
        <f>VLOOKUP(A100,'0919門市清單主檔'!B:V,21,FALSE)</f>
        <v>淡水區</v>
      </c>
      <c r="J100" s="249">
        <v>45730.60833333333</v>
      </c>
      <c r="K100" s="238"/>
      <c r="L100" s="238"/>
      <c r="M100" s="238"/>
      <c r="N100" s="238"/>
      <c r="O100" s="238"/>
      <c r="P100" s="215" t="s">
        <v>55</v>
      </c>
      <c r="Q100" s="245" t="s">
        <v>4120</v>
      </c>
    </row>
    <row r="101" spans="1:17" ht="19.5" customHeight="1">
      <c r="A101" s="237">
        <v>4802</v>
      </c>
      <c r="B101" s="237" t="str">
        <f>VLOOKUP(A101,門市主檔!A:B,2,FALSE)</f>
        <v>淡水沙崙店</v>
      </c>
      <c r="C101" s="359" t="str">
        <f>IF(COUNTIFS(IM!$F:$F,A101,IM!$AD:$AD,"O",IM!$X:$X,"&gt;="&amp;$R$1, IM!$X:$X,"&lt;="&amp;$S$1)&gt;0,"V","")</f>
        <v/>
      </c>
      <c r="D101" s="359" t="str">
        <f>IF(AND(C101&lt;&gt;"V", COUNTIFS(IM!$F:$F,A101, IM!$AD:$AD, "O", IM!$X:$X, "&gt;="&amp;$R$2, IM!$X:$X, "&lt;="&amp;$S$2)&gt;0), "V", "")</f>
        <v/>
      </c>
      <c r="E101" s="359" t="str">
        <f>IF(AND(C101&lt;&gt;"V",D101&lt;&gt;"V", COUNTIFS(IM!$F:$F, A101, IM!$AD:$AD, "O", IM!$X:$X, "&gt;="&amp;$R$3, IM!$X:$X, "&lt;="&amp;$S$3)&gt;0), "V", "")</f>
        <v/>
      </c>
      <c r="F101" s="237" t="str">
        <f t="shared" si="3"/>
        <v>未保養</v>
      </c>
      <c r="G101" s="237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43">
        <f>VLOOKUP(A101,門市主檔!A:U,21,FALSE)</f>
        <v>0</v>
      </c>
      <c r="I101" s="237" t="str">
        <f>VLOOKUP(A101,'0919門市清單主檔'!B:V,21,FALSE)</f>
        <v>淡水區</v>
      </c>
      <c r="J101" s="249">
        <v>45730.628472222219</v>
      </c>
      <c r="K101" s="238"/>
      <c r="L101" s="238"/>
      <c r="M101" s="238"/>
      <c r="N101" s="238"/>
      <c r="O101" s="238"/>
      <c r="P101" s="215" t="s">
        <v>55</v>
      </c>
      <c r="Q101" s="245" t="s">
        <v>4120</v>
      </c>
    </row>
    <row r="102" spans="1:17" ht="19.5" customHeight="1">
      <c r="A102" s="237">
        <v>4739</v>
      </c>
      <c r="B102" s="237" t="str">
        <f>VLOOKUP(A102,門市主檔!A:B,2,FALSE)</f>
        <v>淡水櫻花店</v>
      </c>
      <c r="C102" s="359" t="str">
        <f>IF(COUNTIFS(IM!$F:$F,A102,IM!$AD:$AD,"O",IM!$X:$X,"&gt;="&amp;$R$1, IM!$X:$X,"&lt;="&amp;$S$1)&gt;0,"V","")</f>
        <v/>
      </c>
      <c r="D102" s="359" t="str">
        <f>IF(AND(C102&lt;&gt;"V", COUNTIFS(IM!$F:$F,A102, IM!$AD:$AD, "O", IM!$X:$X, "&gt;="&amp;$R$2, IM!$X:$X, "&lt;="&amp;$S$2)&gt;0), "V", "")</f>
        <v/>
      </c>
      <c r="E102" s="359" t="str">
        <f>IF(AND(C102&lt;&gt;"V",D102&lt;&gt;"V", COUNTIFS(IM!$F:$F, A102, IM!$AD:$AD, "O", IM!$X:$X, "&gt;="&amp;$R$3, IM!$X:$X, "&lt;="&amp;$S$3)&gt;0), "V", "")</f>
        <v/>
      </c>
      <c r="F102" s="237" t="str">
        <f t="shared" si="3"/>
        <v>未保養</v>
      </c>
      <c r="G102" s="237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43">
        <f>VLOOKUP(A102,門市主檔!A:U,21,FALSE)</f>
        <v>1</v>
      </c>
      <c r="I102" s="237" t="str">
        <f>VLOOKUP(A102,'0919門市清單主檔'!B:V,21,FALSE)</f>
        <v>淡水區</v>
      </c>
      <c r="J102" s="249">
        <v>45727.611111111109</v>
      </c>
      <c r="K102" s="238"/>
      <c r="L102" s="238"/>
      <c r="M102" s="238"/>
      <c r="N102" s="238"/>
      <c r="O102" s="238"/>
      <c r="P102" s="215" t="s">
        <v>55</v>
      </c>
      <c r="Q102" s="245" t="s">
        <v>4120</v>
      </c>
    </row>
    <row r="103" spans="1:17" ht="19.5" customHeight="1">
      <c r="A103" s="237">
        <v>5101</v>
      </c>
      <c r="B103" s="237" t="str">
        <f>VLOOKUP(A103,門市主檔!A:B,2,FALSE)</f>
        <v>淡水小坪頂</v>
      </c>
      <c r="C103" s="359" t="str">
        <f>IF(COUNTIFS(IM!$F:$F,A103,IM!$AD:$AD,"O",IM!$X:$X,"&gt;="&amp;$R$1, IM!$X:$X,"&lt;="&amp;$S$1)&gt;0,"V","")</f>
        <v/>
      </c>
      <c r="D103" s="359" t="str">
        <f>IF(AND(C103&lt;&gt;"V", COUNTIFS(IM!$F:$F,A103, IM!$AD:$AD, "O", IM!$X:$X, "&gt;="&amp;$R$2, IM!$X:$X, "&lt;="&amp;$S$2)&gt;0), "V", "")</f>
        <v/>
      </c>
      <c r="E103" s="359" t="str">
        <f>IF(AND(C103&lt;&gt;"V",D103&lt;&gt;"V", COUNTIFS(IM!$F:$F, A103, IM!$AD:$AD, "O", IM!$X:$X, "&gt;="&amp;$R$3, IM!$X:$X, "&lt;="&amp;$S$3)&gt;0), "V", "")</f>
        <v/>
      </c>
      <c r="F103" s="237" t="str">
        <f t="shared" si="3"/>
        <v>未保養</v>
      </c>
      <c r="G103" s="237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43">
        <f>VLOOKUP(A103,門市主檔!A:U,21,FALSE)</f>
        <v>0</v>
      </c>
      <c r="I103" s="237" t="str">
        <f>VLOOKUP(A103,'0919門市清單主檔'!B:V,21,FALSE)</f>
        <v>淡水區</v>
      </c>
      <c r="J103" s="249">
        <v>45727.497916666667</v>
      </c>
      <c r="K103" s="238"/>
      <c r="L103" s="238"/>
      <c r="M103" s="238"/>
      <c r="N103" s="238"/>
      <c r="O103" s="238"/>
      <c r="P103" s="215"/>
      <c r="Q103" s="245" t="s">
        <v>4120</v>
      </c>
    </row>
    <row r="104" spans="1:17" ht="19.5" customHeight="1">
      <c r="A104" s="237">
        <v>2318</v>
      </c>
      <c r="B104" s="237" t="str">
        <f>VLOOKUP(A104,門市主檔!A:B,2,FALSE)</f>
        <v>北縣淡俊店</v>
      </c>
      <c r="C104" s="359" t="str">
        <f>IF(COUNTIFS(IM!$F:$F,A104,IM!$AD:$AD,"O",IM!$X:$X,"&gt;="&amp;$R$1, IM!$X:$X,"&lt;="&amp;$S$1)&gt;0,"V","")</f>
        <v/>
      </c>
      <c r="D104" s="359" t="str">
        <f>IF(AND(C104&lt;&gt;"V", COUNTIFS(IM!$F:$F,A104, IM!$AD:$AD, "O", IM!$X:$X, "&gt;="&amp;$R$2, IM!$X:$X, "&lt;="&amp;$S$2)&gt;0), "V", "")</f>
        <v/>
      </c>
      <c r="E104" s="359" t="str">
        <f>IF(AND(C104&lt;&gt;"V",D104&lt;&gt;"V", COUNTIFS(IM!$F:$F, A104, IM!$AD:$AD, "O", IM!$X:$X, "&gt;="&amp;$R$3, IM!$X:$X, "&lt;="&amp;$S$3)&gt;0), "V", "")</f>
        <v/>
      </c>
      <c r="F104" s="237" t="str">
        <f t="shared" ref="F104:F124" si="4">IF(COUNTBLANK(C104:E104)=3,"未保養","")</f>
        <v>未保養</v>
      </c>
      <c r="G104" s="237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43">
        <f>VLOOKUP(A104,門市主檔!A:U,21,FALSE)</f>
        <v>1</v>
      </c>
      <c r="I104" s="237" t="str">
        <f>VLOOKUP(A104,'0919門市清單主檔'!B:V,21,FALSE)</f>
        <v>淡水區</v>
      </c>
      <c r="J104" s="249">
        <v>45700.472916666666</v>
      </c>
      <c r="K104" s="238"/>
      <c r="L104" s="238"/>
      <c r="M104" s="238"/>
      <c r="N104" s="238"/>
      <c r="O104" s="238"/>
      <c r="P104" s="215" t="s">
        <v>55</v>
      </c>
      <c r="Q104" s="245" t="s">
        <v>4120</v>
      </c>
    </row>
    <row r="105" spans="1:17" ht="19.5" customHeight="1">
      <c r="A105" s="237">
        <v>4658</v>
      </c>
      <c r="B105" s="237" t="str">
        <f>VLOOKUP(A105,門市主檔!A:B,2,FALSE)</f>
        <v>淡水英才店</v>
      </c>
      <c r="C105" s="359" t="str">
        <f>IF(COUNTIFS(IM!$F:$F,A105,IM!$AD:$AD,"O",IM!$X:$X,"&gt;="&amp;$R$1, IM!$X:$X,"&lt;="&amp;$S$1)&gt;0,"V","")</f>
        <v/>
      </c>
      <c r="D105" s="359" t="str">
        <f>IF(AND(C105&lt;&gt;"V", COUNTIFS(IM!$F:$F,A105, IM!$AD:$AD, "O", IM!$X:$X, "&gt;="&amp;$R$2, IM!$X:$X, "&lt;="&amp;$S$2)&gt;0), "V", "")</f>
        <v/>
      </c>
      <c r="E105" s="359" t="str">
        <f>IF(AND(C105&lt;&gt;"V",D105&lt;&gt;"V", COUNTIFS(IM!$F:$F, A105, IM!$AD:$AD, "O", IM!$X:$X, "&gt;="&amp;$R$3, IM!$X:$X, "&lt;="&amp;$S$3)&gt;0), "V", "")</f>
        <v/>
      </c>
      <c r="F105" s="237" t="str">
        <f t="shared" si="4"/>
        <v>未保養</v>
      </c>
      <c r="G105" s="237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43">
        <f>VLOOKUP(A105,門市主檔!A:U,21,FALSE)</f>
        <v>0</v>
      </c>
      <c r="I105" s="237" t="str">
        <f>VLOOKUP(A105,'0919門市清單主檔'!B:V,21,FALSE)</f>
        <v>淡水區</v>
      </c>
      <c r="J105" s="249">
        <v>45723.629861111112</v>
      </c>
      <c r="K105" s="238"/>
      <c r="L105" s="238"/>
      <c r="M105" s="238"/>
      <c r="N105" s="238"/>
      <c r="O105" s="238"/>
      <c r="P105" s="215"/>
      <c r="Q105" s="245" t="s">
        <v>4120</v>
      </c>
    </row>
    <row r="106" spans="1:17" ht="19.5" customHeight="1">
      <c r="A106" s="237" t="s">
        <v>42</v>
      </c>
      <c r="B106" s="237" t="str">
        <f>VLOOKUP(A106,門市主檔!A:B,2,FALSE)</f>
        <v>淡水金龍店</v>
      </c>
      <c r="C106" s="359" t="str">
        <f>IF(COUNTIFS(IM!$F:$F,A106,IM!$AD:$AD,"O",IM!$X:$X,"&gt;="&amp;$R$1, IM!$X:$X,"&lt;="&amp;$S$1)&gt;0,"V","")</f>
        <v/>
      </c>
      <c r="D106" s="359" t="str">
        <f>IF(AND(C106&lt;&gt;"V", COUNTIFS(IM!$F:$F,A106, IM!$AD:$AD, "O", IM!$X:$X, "&gt;="&amp;$R$2, IM!$X:$X, "&lt;="&amp;$S$2)&gt;0), "V", "")</f>
        <v/>
      </c>
      <c r="E106" s="359" t="str">
        <f>IF(AND(C106&lt;&gt;"V",D106&lt;&gt;"V", COUNTIFS(IM!$F:$F, A106, IM!$AD:$AD, "O", IM!$X:$X, "&gt;="&amp;$R$3, IM!$X:$X, "&lt;="&amp;$S$3)&gt;0), "V", "")</f>
        <v/>
      </c>
      <c r="F106" s="237" t="str">
        <f t="shared" si="4"/>
        <v>未保養</v>
      </c>
      <c r="G106" s="237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43">
        <f>VLOOKUP(A106,門市主檔!A:U,21,FALSE)</f>
        <v>2</v>
      </c>
      <c r="I106" s="237" t="str">
        <f>VLOOKUP(A106,'0919門市清單主檔'!B:V,21,FALSE)</f>
        <v>淡水區</v>
      </c>
      <c r="J106" s="249">
        <v>45663.465277777781</v>
      </c>
      <c r="K106" s="238"/>
      <c r="L106" s="238"/>
      <c r="M106" s="238"/>
      <c r="N106" s="238"/>
      <c r="O106" s="238"/>
      <c r="P106" s="215"/>
      <c r="Q106" s="245" t="s">
        <v>4120</v>
      </c>
    </row>
    <row r="107" spans="1:17" ht="19.5" customHeight="1">
      <c r="A107" s="237">
        <v>4529</v>
      </c>
      <c r="B107" s="237" t="str">
        <f>VLOOKUP(A107,門市主檔!A:B,2,FALSE)</f>
        <v>淡水新洲店</v>
      </c>
      <c r="C107" s="359" t="str">
        <f>IF(COUNTIFS(IM!$F:$F,A107,IM!$AD:$AD,"O",IM!$X:$X,"&gt;="&amp;$R$1, IM!$X:$X,"&lt;="&amp;$S$1)&gt;0,"V","")</f>
        <v/>
      </c>
      <c r="D107" s="359" t="str">
        <f>IF(AND(C107&lt;&gt;"V", COUNTIFS(IM!$F:$F,A107, IM!$AD:$AD, "O", IM!$X:$X, "&gt;="&amp;$R$2, IM!$X:$X, "&lt;="&amp;$S$2)&gt;0), "V", "")</f>
        <v/>
      </c>
      <c r="E107" s="359" t="str">
        <f>IF(AND(C107&lt;&gt;"V",D107&lt;&gt;"V", COUNTIFS(IM!$F:$F, A107, IM!$AD:$AD, "O", IM!$X:$X, "&gt;="&amp;$R$3, IM!$X:$X, "&lt;="&amp;$S$3)&gt;0), "V", "")</f>
        <v/>
      </c>
      <c r="F107" s="237" t="str">
        <f t="shared" si="4"/>
        <v>未保養</v>
      </c>
      <c r="G107" s="237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43">
        <f>VLOOKUP(A107,門市主檔!A:U,21,FALSE)</f>
        <v>2</v>
      </c>
      <c r="I107" s="237" t="str">
        <f>VLOOKUP(A107,'0919門市清單主檔'!B:V,21,FALSE)</f>
        <v>淡水區</v>
      </c>
      <c r="J107" s="249">
        <v>45692.496527777781</v>
      </c>
      <c r="K107" s="238"/>
      <c r="L107" s="238"/>
      <c r="M107" s="238"/>
      <c r="N107" s="238"/>
      <c r="O107" s="238"/>
      <c r="P107" s="215" t="s">
        <v>55</v>
      </c>
      <c r="Q107" s="245" t="s">
        <v>4120</v>
      </c>
    </row>
    <row r="108" spans="1:17" ht="19.5" customHeight="1">
      <c r="A108" s="237">
        <v>2749</v>
      </c>
      <c r="B108" s="237" t="str">
        <f>VLOOKUP(A108,門市主檔!A:B,2,FALSE)</f>
        <v>淡水灰瑤子</v>
      </c>
      <c r="C108" s="359" t="str">
        <f>IF(COUNTIFS(IM!$F:$F,A108,IM!$AD:$AD,"O",IM!$X:$X,"&gt;="&amp;$R$1, IM!$X:$X,"&lt;="&amp;$S$1)&gt;0,"V","")</f>
        <v/>
      </c>
      <c r="D108" s="359" t="str">
        <f>IF(AND(C108&lt;&gt;"V", COUNTIFS(IM!$F:$F,A108, IM!$AD:$AD, "O", IM!$X:$X, "&gt;="&amp;$R$2, IM!$X:$X, "&lt;="&amp;$S$2)&gt;0), "V", "")</f>
        <v/>
      </c>
      <c r="E108" s="359" t="str">
        <f>IF(AND(C108&lt;&gt;"V",D108&lt;&gt;"V", COUNTIFS(IM!$F:$F, A108, IM!$AD:$AD, "O", IM!$X:$X, "&gt;="&amp;$R$3, IM!$X:$X, "&lt;="&amp;$S$3)&gt;0), "V", "")</f>
        <v/>
      </c>
      <c r="F108" s="237" t="str">
        <f t="shared" si="4"/>
        <v>未保養</v>
      </c>
      <c r="G108" s="237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43">
        <f>VLOOKUP(A108,門市主檔!A:U,21,FALSE)</f>
        <v>2</v>
      </c>
      <c r="I108" s="237" t="str">
        <f>VLOOKUP(A108,'0919門市清單主檔'!B:V,21,FALSE)</f>
        <v>淡水區</v>
      </c>
      <c r="J108" s="249">
        <v>45692.55</v>
      </c>
      <c r="K108" s="238"/>
      <c r="L108" s="238"/>
      <c r="M108" s="238"/>
      <c r="N108" s="238"/>
      <c r="O108" s="238"/>
      <c r="P108" s="215" t="s">
        <v>55</v>
      </c>
      <c r="Q108" s="245" t="s">
        <v>4120</v>
      </c>
    </row>
    <row r="109" spans="1:17" ht="19.5" customHeight="1">
      <c r="A109" s="237">
        <v>4511</v>
      </c>
      <c r="B109" s="237" t="str">
        <f>VLOOKUP(A109,門市主檔!A:B,2,FALSE)</f>
        <v>淡水屯山店</v>
      </c>
      <c r="C109" s="359" t="str">
        <f>IF(COUNTIFS(IM!$F:$F,A109,IM!$AD:$AD,"O",IM!$X:$X,"&gt;="&amp;$R$1, IM!$X:$X,"&lt;="&amp;$S$1)&gt;0,"V","")</f>
        <v/>
      </c>
      <c r="D109" s="359" t="str">
        <f>IF(AND(C109&lt;&gt;"V", COUNTIFS(IM!$F:$F,A109, IM!$AD:$AD, "O", IM!$X:$X, "&gt;="&amp;$R$2, IM!$X:$X, "&lt;="&amp;$S$2)&gt;0), "V", "")</f>
        <v/>
      </c>
      <c r="E109" s="359" t="str">
        <f>IF(AND(C109&lt;&gt;"V",D109&lt;&gt;"V", COUNTIFS(IM!$F:$F, A109, IM!$AD:$AD, "O", IM!$X:$X, "&gt;="&amp;$R$3, IM!$X:$X, "&lt;="&amp;$S$3)&gt;0), "V", "")</f>
        <v/>
      </c>
      <c r="F109" s="237" t="str">
        <f t="shared" si="4"/>
        <v>未保養</v>
      </c>
      <c r="G109" s="237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43">
        <f>VLOOKUP(A109,門市主檔!A:U,21,FALSE)</f>
        <v>0</v>
      </c>
      <c r="I109" s="237" t="str">
        <f>VLOOKUP(A109,'0919門市清單主檔'!B:V,21,FALSE)</f>
        <v>淡水區</v>
      </c>
      <c r="J109" s="249">
        <v>45692.577777777777</v>
      </c>
      <c r="K109" s="238"/>
      <c r="L109" s="238"/>
      <c r="M109" s="238"/>
      <c r="N109" s="238"/>
      <c r="O109" s="238"/>
      <c r="P109" s="215" t="s">
        <v>55</v>
      </c>
      <c r="Q109" s="245" t="s">
        <v>4120</v>
      </c>
    </row>
    <row r="110" spans="1:17" ht="19.5" customHeight="1">
      <c r="A110" s="237" t="s">
        <v>43</v>
      </c>
      <c r="B110" s="237" t="str">
        <f>VLOOKUP(A110,門市主檔!A:B,2,FALSE)</f>
        <v>車麗屋蘆洲店</v>
      </c>
      <c r="C110" s="359" t="str">
        <f>IF(COUNTIFS(IM!$F:$F,A110,IM!$AD:$AD,"O",IM!$X:$X,"&gt;="&amp;$R$1, IM!$X:$X,"&lt;="&amp;$S$1)&gt;0,"V","")</f>
        <v/>
      </c>
      <c r="D110" s="359" t="str">
        <f>IF(AND(C110&lt;&gt;"V", COUNTIFS(IM!$F:$F,A110, IM!$AD:$AD, "O", IM!$X:$X, "&gt;="&amp;$R$2, IM!$X:$X, "&lt;="&amp;$S$2)&gt;0), "V", "")</f>
        <v/>
      </c>
      <c r="E110" s="359" t="str">
        <f>IF(AND(C110&lt;&gt;"V",D110&lt;&gt;"V", COUNTIFS(IM!$F:$F, A110, IM!$AD:$AD, "O", IM!$X:$X, "&gt;="&amp;$R$3, IM!$X:$X, "&lt;="&amp;$S$3)&gt;0), "V", "")</f>
        <v/>
      </c>
      <c r="F110" s="237" t="str">
        <f t="shared" si="4"/>
        <v>未保養</v>
      </c>
      <c r="G110" s="237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43">
        <f>VLOOKUP(A110,門市主檔!A:U,21,FALSE)</f>
        <v>0</v>
      </c>
      <c r="I110" s="237" t="str">
        <f>VLOOKUP(A110,'0919門市清單主檔'!B:V,21,FALSE)</f>
        <v>蘆洲區</v>
      </c>
      <c r="J110" s="249">
        <v>45720.59375</v>
      </c>
      <c r="K110" s="238"/>
      <c r="L110" s="238"/>
      <c r="M110" s="238"/>
      <c r="N110" s="238"/>
      <c r="O110" s="238"/>
      <c r="P110" s="215" t="s">
        <v>55</v>
      </c>
      <c r="Q110" s="245" t="s">
        <v>4120</v>
      </c>
    </row>
    <row r="111" spans="1:17" ht="19.5" customHeight="1">
      <c r="A111" s="237">
        <v>3892</v>
      </c>
      <c r="B111" s="237" t="str">
        <f>VLOOKUP(A111,門市主檔!A:B,2,FALSE)</f>
        <v>蘆洲光榮店</v>
      </c>
      <c r="C111" s="359" t="str">
        <f>IF(COUNTIFS(IM!$F:$F,A111,IM!$AD:$AD,"O",IM!$X:$X,"&gt;="&amp;$R$1, IM!$X:$X,"&lt;="&amp;$S$1)&gt;0,"V","")</f>
        <v/>
      </c>
      <c r="D111" s="359" t="str">
        <f>IF(AND(C111&lt;&gt;"V", COUNTIFS(IM!$F:$F,A111, IM!$AD:$AD, "O", IM!$X:$X, "&gt;="&amp;$R$2, IM!$X:$X, "&lt;="&amp;$S$2)&gt;0), "V", "")</f>
        <v/>
      </c>
      <c r="E111" s="359" t="str">
        <f>IF(AND(C111&lt;&gt;"V",D111&lt;&gt;"V", COUNTIFS(IM!$F:$F, A111, IM!$AD:$AD, "O", IM!$X:$X, "&gt;="&amp;$R$3, IM!$X:$X, "&lt;="&amp;$S$3)&gt;0), "V", "")</f>
        <v/>
      </c>
      <c r="F111" s="237" t="str">
        <f t="shared" si="4"/>
        <v>未保養</v>
      </c>
      <c r="G111" s="237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43">
        <f>VLOOKUP(A111,門市主檔!A:U,21,FALSE)</f>
        <v>0</v>
      </c>
      <c r="I111" s="237" t="str">
        <f>VLOOKUP(A111,'0919門市清單主檔'!B:V,21,FALSE)</f>
        <v>蘆洲區</v>
      </c>
      <c r="J111" s="249">
        <v>45709.490277777775</v>
      </c>
      <c r="K111" s="238"/>
      <c r="L111" s="238"/>
      <c r="M111" s="238"/>
      <c r="N111" s="238"/>
      <c r="O111" s="238"/>
      <c r="P111" s="215"/>
      <c r="Q111" s="245" t="s">
        <v>4120</v>
      </c>
    </row>
    <row r="112" spans="1:17" ht="19.5" customHeight="1">
      <c r="A112" s="237">
        <v>4218</v>
      </c>
      <c r="B112" s="237" t="str">
        <f>VLOOKUP(A112,門市主檔!A:B,2,FALSE)</f>
        <v>蘆洲湧蓮店</v>
      </c>
      <c r="C112" s="359" t="str">
        <f>IF(COUNTIFS(IM!$F:$F,A112,IM!$AD:$AD,"O",IM!$X:$X,"&gt;="&amp;$R$1, IM!$X:$X,"&lt;="&amp;$S$1)&gt;0,"V","")</f>
        <v/>
      </c>
      <c r="D112" s="359" t="str">
        <f>IF(AND(C112&lt;&gt;"V", COUNTIFS(IM!$F:$F,A112, IM!$AD:$AD, "O", IM!$X:$X, "&gt;="&amp;$R$2, IM!$X:$X, "&lt;="&amp;$S$2)&gt;0), "V", "")</f>
        <v/>
      </c>
      <c r="E112" s="359" t="str">
        <f>IF(AND(C112&lt;&gt;"V",D112&lt;&gt;"V", COUNTIFS(IM!$F:$F, A112, IM!$AD:$AD, "O", IM!$X:$X, "&gt;="&amp;$R$3, IM!$X:$X, "&lt;="&amp;$S$3)&gt;0), "V", "")</f>
        <v/>
      </c>
      <c r="F112" s="237" t="str">
        <f t="shared" si="4"/>
        <v>未保養</v>
      </c>
      <c r="G112" s="237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43">
        <f>VLOOKUP(A112,門市主檔!A:U,21,FALSE)</f>
        <v>1</v>
      </c>
      <c r="I112" s="237" t="str">
        <f>VLOOKUP(A112,'0919門市清單主檔'!B:V,21,FALSE)</f>
        <v>蘆洲區</v>
      </c>
      <c r="J112" s="249">
        <v>45721.678472222222</v>
      </c>
      <c r="K112" s="238"/>
      <c r="L112" s="238"/>
      <c r="M112" s="238"/>
      <c r="N112" s="238"/>
      <c r="O112" s="238"/>
      <c r="P112" s="215" t="s">
        <v>55</v>
      </c>
      <c r="Q112" s="245" t="s">
        <v>4120</v>
      </c>
    </row>
    <row r="113" spans="1:17" ht="19.5" customHeight="1">
      <c r="A113" s="237">
        <v>4125</v>
      </c>
      <c r="B113" s="237" t="str">
        <f>VLOOKUP(A113,門市主檔!A:B,2,FALSE)</f>
        <v>蘆洲長樂店</v>
      </c>
      <c r="C113" s="359" t="str">
        <f>IF(COUNTIFS(IM!$F:$F,A113,IM!$AD:$AD,"O",IM!$X:$X,"&gt;="&amp;$R$1, IM!$X:$X,"&lt;="&amp;$S$1)&gt;0,"V","")</f>
        <v/>
      </c>
      <c r="D113" s="359" t="str">
        <f>IF(AND(C113&lt;&gt;"V", COUNTIFS(IM!$F:$F,A113, IM!$AD:$AD, "O", IM!$X:$X, "&gt;="&amp;$R$2, IM!$X:$X, "&lt;="&amp;$S$2)&gt;0), "V", "")</f>
        <v/>
      </c>
      <c r="E113" s="359" t="str">
        <f>IF(AND(C113&lt;&gt;"V",D113&lt;&gt;"V", COUNTIFS(IM!$F:$F, A113, IM!$AD:$AD, "O", IM!$X:$X, "&gt;="&amp;$R$3, IM!$X:$X, "&lt;="&amp;$S$3)&gt;0), "V", "")</f>
        <v/>
      </c>
      <c r="F113" s="237" t="str">
        <f t="shared" si="4"/>
        <v>未保養</v>
      </c>
      <c r="G113" s="237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43">
        <f>VLOOKUP(A113,門市主檔!A:U,21,FALSE)</f>
        <v>2</v>
      </c>
      <c r="I113" s="237" t="str">
        <f>VLOOKUP(A113,'0919門市清單主檔'!B:V,21,FALSE)</f>
        <v>蘆洲區</v>
      </c>
      <c r="J113" s="249">
        <v>45709.506944444445</v>
      </c>
      <c r="K113" s="238"/>
      <c r="L113" s="238"/>
      <c r="M113" s="238"/>
      <c r="N113" s="238"/>
      <c r="O113" s="238"/>
      <c r="P113" s="215"/>
      <c r="Q113" s="245" t="s">
        <v>4120</v>
      </c>
    </row>
    <row r="114" spans="1:17" ht="19.5" customHeight="1">
      <c r="A114" s="237">
        <v>4609</v>
      </c>
      <c r="B114" s="237" t="str">
        <f>VLOOKUP(A114,門市主檔!A:B,2,FALSE)</f>
        <v>蘆洲洲正店</v>
      </c>
      <c r="C114" s="359" t="str">
        <f>IF(COUNTIFS(IM!$F:$F,A114,IM!$AD:$AD,"O",IM!$X:$X,"&gt;="&amp;$R$1, IM!$X:$X,"&lt;="&amp;$S$1)&gt;0,"V","")</f>
        <v/>
      </c>
      <c r="D114" s="359" t="str">
        <f>IF(AND(C114&lt;&gt;"V", COUNTIFS(IM!$F:$F,A114, IM!$AD:$AD, "O", IM!$X:$X, "&gt;="&amp;$R$2, IM!$X:$X, "&lt;="&amp;$S$2)&gt;0), "V", "")</f>
        <v/>
      </c>
      <c r="E114" s="359" t="str">
        <f>IF(AND(C114&lt;&gt;"V",D114&lt;&gt;"V", COUNTIFS(IM!$F:$F, A114, IM!$AD:$AD, "O", IM!$X:$X, "&gt;="&amp;$R$3, IM!$X:$X, "&lt;="&amp;$S$3)&gt;0), "V", "")</f>
        <v/>
      </c>
      <c r="F114" s="237" t="str">
        <f t="shared" si="4"/>
        <v>未保養</v>
      </c>
      <c r="G114" s="237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43">
        <f>VLOOKUP(A114,門市主檔!A:U,21,FALSE)</f>
        <v>2</v>
      </c>
      <c r="I114" s="237" t="str">
        <f>VLOOKUP(A114,'0919門市清單主檔'!B:V,21,FALSE)</f>
        <v>蘆洲區</v>
      </c>
      <c r="J114" s="249">
        <v>45709.600694444445</v>
      </c>
      <c r="K114" s="238"/>
      <c r="L114" s="238"/>
      <c r="M114" s="238"/>
      <c r="N114" s="238"/>
      <c r="O114" s="238"/>
      <c r="P114" s="215"/>
      <c r="Q114" s="245" t="s">
        <v>4120</v>
      </c>
    </row>
    <row r="115" spans="1:17" ht="19.5" customHeight="1">
      <c r="A115" s="237">
        <v>3452</v>
      </c>
      <c r="B115" s="237" t="str">
        <f>VLOOKUP(A115,門市主檔!A:B,2,FALSE)</f>
        <v>北縣蘆信店</v>
      </c>
      <c r="C115" s="359" t="str">
        <f>IF(COUNTIFS(IM!$F:$F,A115,IM!$AD:$AD,"O",IM!$X:$X,"&gt;="&amp;$R$1, IM!$X:$X,"&lt;="&amp;$S$1)&gt;0,"V","")</f>
        <v/>
      </c>
      <c r="D115" s="359" t="str">
        <f>IF(AND(C115&lt;&gt;"V", COUNTIFS(IM!$F:$F,A115, IM!$AD:$AD, "O", IM!$X:$X, "&gt;="&amp;$R$2, IM!$X:$X, "&lt;="&amp;$S$2)&gt;0), "V", "")</f>
        <v/>
      </c>
      <c r="E115" s="359" t="str">
        <f>IF(AND(C115&lt;&gt;"V",D115&lt;&gt;"V", COUNTIFS(IM!$F:$F, A115, IM!$AD:$AD, "O", IM!$X:$X, "&gt;="&amp;$R$3, IM!$X:$X, "&lt;="&amp;$S$3)&gt;0), "V", "")</f>
        <v/>
      </c>
      <c r="F115" s="237" t="str">
        <f t="shared" si="4"/>
        <v>未保養</v>
      </c>
      <c r="G115" s="237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43">
        <f>VLOOKUP(A115,門市主檔!A:U,21,FALSE)</f>
        <v>2</v>
      </c>
      <c r="I115" s="237" t="str">
        <f>VLOOKUP(A115,'0919門市清單主檔'!B:V,21,FALSE)</f>
        <v>蘆洲區</v>
      </c>
      <c r="J115" s="249">
        <v>45720.671527777777</v>
      </c>
      <c r="K115" s="238"/>
      <c r="L115" s="238"/>
      <c r="M115" s="238"/>
      <c r="N115" s="238"/>
      <c r="O115" s="238"/>
      <c r="P115" s="215" t="s">
        <v>55</v>
      </c>
      <c r="Q115" s="245" t="s">
        <v>4120</v>
      </c>
    </row>
    <row r="116" spans="1:17" ht="21.6" customHeight="1">
      <c r="A116" s="237">
        <v>2890</v>
      </c>
      <c r="B116" s="237" t="str">
        <f>VLOOKUP(A116,門市主檔!A:B,2,FALSE)</f>
        <v>蘆洲鷺江店</v>
      </c>
      <c r="C116" s="359" t="str">
        <f>IF(COUNTIFS(IM!$F:$F,A116,IM!$AD:$AD,"O",IM!$X:$X,"&gt;="&amp;$R$1, IM!$X:$X,"&lt;="&amp;$S$1)&gt;0,"V","")</f>
        <v/>
      </c>
      <c r="D116" s="359" t="str">
        <f>IF(AND(C116&lt;&gt;"V", COUNTIFS(IM!$F:$F,A116, IM!$AD:$AD, "O", IM!$X:$X, "&gt;="&amp;$R$2, IM!$X:$X, "&lt;="&amp;$S$2)&gt;0), "V", "")</f>
        <v/>
      </c>
      <c r="E116" s="359" t="str">
        <f>IF(AND(C116&lt;&gt;"V",D116&lt;&gt;"V", COUNTIFS(IM!$F:$F, A116, IM!$AD:$AD, "O", IM!$X:$X, "&gt;="&amp;$R$3, IM!$X:$X, "&lt;="&amp;$S$3)&gt;0), "V", "")</f>
        <v/>
      </c>
      <c r="F116" s="237" t="str">
        <f t="shared" si="4"/>
        <v>未保養</v>
      </c>
      <c r="G116" s="237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43">
        <f>VLOOKUP(A116,門市主檔!A:U,21,FALSE)</f>
        <v>2</v>
      </c>
      <c r="I116" s="237" t="str">
        <f>VLOOKUP(A116,'0919門市清單主檔'!B:V,21,FALSE)</f>
        <v>蘆洲區</v>
      </c>
      <c r="J116" s="249">
        <v>45705.520833333336</v>
      </c>
      <c r="K116" s="238"/>
      <c r="L116" s="238"/>
      <c r="M116" s="238"/>
      <c r="N116" s="238"/>
      <c r="O116" s="238"/>
      <c r="P116" s="215" t="s">
        <v>55</v>
      </c>
      <c r="Q116" s="245" t="s">
        <v>4120</v>
      </c>
    </row>
    <row r="117" spans="1:17" ht="21.6" customHeight="1">
      <c r="A117" s="237">
        <v>2958</v>
      </c>
      <c r="B117" s="237" t="str">
        <f>VLOOKUP(A117,門市主檔!A:B,2,FALSE)</f>
        <v>北縣蘆旺店</v>
      </c>
      <c r="C117" s="359" t="str">
        <f>IF(COUNTIFS(IM!$F:$F,A117,IM!$AD:$AD,"O",IM!$X:$X,"&gt;="&amp;$R$1, IM!$X:$X,"&lt;="&amp;$S$1)&gt;0,"V","")</f>
        <v/>
      </c>
      <c r="D117" s="359" t="str">
        <f>IF(AND(C117&lt;&gt;"V", COUNTIFS(IM!$F:$F,A117, IM!$AD:$AD, "O", IM!$X:$X, "&gt;="&amp;$R$2, IM!$X:$X, "&lt;="&amp;$S$2)&gt;0), "V", "")</f>
        <v/>
      </c>
      <c r="E117" s="359" t="str">
        <f>IF(AND(C117&lt;&gt;"V",D117&lt;&gt;"V", COUNTIFS(IM!$F:$F, A117, IM!$AD:$AD, "O", IM!$X:$X, "&gt;="&amp;$R$3, IM!$X:$X, "&lt;="&amp;$S$3)&gt;0), "V", "")</f>
        <v/>
      </c>
      <c r="F117" s="237" t="str">
        <f t="shared" si="4"/>
        <v>未保養</v>
      </c>
      <c r="G117" s="237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43">
        <f>VLOOKUP(A117,門市主檔!A:U,21,FALSE)</f>
        <v>2</v>
      </c>
      <c r="I117" s="237" t="str">
        <f>VLOOKUP(A117,'0919門市清單主檔'!B:V,21,FALSE)</f>
        <v>蘆洲區</v>
      </c>
      <c r="J117" s="249">
        <v>45709.619444444441</v>
      </c>
      <c r="K117" s="238"/>
      <c r="L117" s="238"/>
      <c r="M117" s="238"/>
      <c r="N117" s="238"/>
      <c r="O117" s="238"/>
      <c r="P117" s="215" t="s">
        <v>55</v>
      </c>
      <c r="Q117" s="245" t="s">
        <v>4120</v>
      </c>
    </row>
    <row r="118" spans="1:17" ht="21.6" customHeight="1">
      <c r="A118" s="237">
        <v>3929</v>
      </c>
      <c r="B118" s="237" t="str">
        <f>VLOOKUP(A118,門市主檔!A:B,2,FALSE)</f>
        <v>蘆洲中山一</v>
      </c>
      <c r="C118" s="359" t="str">
        <f>IF(COUNTIFS(IM!$F:$F,A118,IM!$AD:$AD,"O",IM!$X:$X,"&gt;="&amp;$R$1, IM!$X:$X,"&lt;="&amp;$S$1)&gt;0,"V","")</f>
        <v/>
      </c>
      <c r="D118" s="359" t="str">
        <f>IF(AND(C118&lt;&gt;"V", COUNTIFS(IM!$F:$F,A118, IM!$AD:$AD, "O", IM!$X:$X, "&gt;="&amp;$R$2, IM!$X:$X, "&lt;="&amp;$S$2)&gt;0), "V", "")</f>
        <v/>
      </c>
      <c r="E118" s="359" t="str">
        <f>IF(AND(C118&lt;&gt;"V",D118&lt;&gt;"V", COUNTIFS(IM!$F:$F, A118, IM!$AD:$AD, "O", IM!$X:$X, "&gt;="&amp;$R$3, IM!$X:$X, "&lt;="&amp;$S$3)&gt;0), "V", "")</f>
        <v/>
      </c>
      <c r="F118" s="237" t="str">
        <f t="shared" si="4"/>
        <v>未保養</v>
      </c>
      <c r="G118" s="237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43">
        <f>VLOOKUP(A118,門市主檔!A:U,21,FALSE)</f>
        <v>1</v>
      </c>
      <c r="I118" s="237" t="str">
        <f>VLOOKUP(A118,'0919門市清單主檔'!B:V,21,FALSE)</f>
        <v>蘆洲區</v>
      </c>
      <c r="J118" s="249">
        <v>45721.706944444442</v>
      </c>
      <c r="K118" s="238"/>
      <c r="L118" s="238"/>
      <c r="M118" s="238"/>
      <c r="N118" s="238"/>
      <c r="O118" s="238"/>
      <c r="P118" s="215" t="s">
        <v>55</v>
      </c>
      <c r="Q118" s="245" t="s">
        <v>4120</v>
      </c>
    </row>
    <row r="119" spans="1:17" ht="21.6" customHeight="1">
      <c r="A119" s="237">
        <v>4923</v>
      </c>
      <c r="B119" s="237" t="str">
        <f>VLOOKUP(A119,門市主檔!A:B,2,FALSE)</f>
        <v>蘆洲永平店</v>
      </c>
      <c r="C119" s="359" t="str">
        <f>IF(COUNTIFS(IM!$F:$F,A119,IM!$AD:$AD,"O",IM!$X:$X,"&gt;="&amp;$R$1, IM!$X:$X,"&lt;="&amp;$S$1)&gt;0,"V","")</f>
        <v/>
      </c>
      <c r="D119" s="359" t="str">
        <f>IF(AND(C119&lt;&gt;"V", COUNTIFS(IM!$F:$F,A119, IM!$AD:$AD, "O", IM!$X:$X, "&gt;="&amp;$R$2, IM!$X:$X, "&lt;="&amp;$S$2)&gt;0), "V", "")</f>
        <v/>
      </c>
      <c r="E119" s="359" t="str">
        <f>IF(AND(C119&lt;&gt;"V",D119&lt;&gt;"V", COUNTIFS(IM!$F:$F, A119, IM!$AD:$AD, "O", IM!$X:$X, "&gt;="&amp;$R$3, IM!$X:$X, "&lt;="&amp;$S$3)&gt;0), "V", "")</f>
        <v/>
      </c>
      <c r="F119" s="237" t="str">
        <f t="shared" si="4"/>
        <v>未保養</v>
      </c>
      <c r="G119" s="237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43">
        <f>VLOOKUP(A119,門市主檔!A:U,21,FALSE)</f>
        <v>1</v>
      </c>
      <c r="I119" s="237" t="str">
        <f>VLOOKUP(A119,'0919門市清單主檔'!B:V,21,FALSE)</f>
        <v>蘆洲區</v>
      </c>
      <c r="J119" s="249">
        <v>45706.719444444447</v>
      </c>
      <c r="K119" s="238"/>
      <c r="L119" s="238"/>
      <c r="M119" s="238"/>
      <c r="N119" s="238"/>
      <c r="O119" s="238"/>
      <c r="P119" s="215"/>
      <c r="Q119" s="245" t="s">
        <v>4120</v>
      </c>
    </row>
    <row r="120" spans="1:17" ht="21.6" customHeight="1">
      <c r="A120" s="237" t="s">
        <v>17</v>
      </c>
      <c r="B120" s="237" t="str">
        <f>VLOOKUP(A120,門市主檔!A:B,2,FALSE)</f>
        <v>蘆洲權義店</v>
      </c>
      <c r="C120" s="359" t="str">
        <f>IF(COUNTIFS(IM!$F:$F,A120,IM!$AD:$AD,"O",IM!$X:$X,"&gt;="&amp;$R$1, IM!$X:$X,"&lt;="&amp;$S$1)&gt;0,"V","")</f>
        <v/>
      </c>
      <c r="D120" s="359" t="str">
        <f>IF(AND(C120&lt;&gt;"V", COUNTIFS(IM!$F:$F,A120, IM!$AD:$AD, "O", IM!$X:$X, "&gt;="&amp;$R$2, IM!$X:$X, "&lt;="&amp;$S$2)&gt;0), "V", "")</f>
        <v/>
      </c>
      <c r="E120" s="359" t="str">
        <f>IF(AND(C120&lt;&gt;"V",D120&lt;&gt;"V", COUNTIFS(IM!$F:$F, A120, IM!$AD:$AD, "O", IM!$X:$X, "&gt;="&amp;$R$3, IM!$X:$X, "&lt;="&amp;$S$3)&gt;0), "V", "")</f>
        <v/>
      </c>
      <c r="F120" s="237" t="str">
        <f t="shared" si="4"/>
        <v>未保養</v>
      </c>
      <c r="G120" s="237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43">
        <f>VLOOKUP(A120,門市主檔!A:U,21,FALSE)</f>
        <v>2</v>
      </c>
      <c r="I120" s="237" t="str">
        <f>VLOOKUP(A120,'0919門市清單主檔'!B:V,21,FALSE)</f>
        <v>蘆洲區</v>
      </c>
      <c r="J120" s="249">
        <v>45664.484027777777</v>
      </c>
      <c r="K120" s="238"/>
      <c r="L120" s="238"/>
      <c r="M120" s="238"/>
      <c r="N120" s="238"/>
      <c r="O120" s="238"/>
      <c r="P120" s="215"/>
      <c r="Q120" s="245" t="s">
        <v>4120</v>
      </c>
    </row>
    <row r="121" spans="1:17" ht="21.6" customHeight="1">
      <c r="A121" s="237">
        <v>4036</v>
      </c>
      <c r="B121" s="237" t="str">
        <f>VLOOKUP(A121,門市主檔!A:B,2,FALSE)</f>
        <v>蘆洲永樂店</v>
      </c>
      <c r="C121" s="359" t="str">
        <f>IF(COUNTIFS(IM!$F:$F,A121,IM!$AD:$AD,"O",IM!$X:$X,"&gt;="&amp;$R$1, IM!$X:$X,"&lt;="&amp;$S$1)&gt;0,"V","")</f>
        <v/>
      </c>
      <c r="D121" s="359" t="str">
        <f>IF(AND(C121&lt;&gt;"V", COUNTIFS(IM!$F:$F,A121, IM!$AD:$AD, "O", IM!$X:$X, "&gt;="&amp;$R$2, IM!$X:$X, "&lt;="&amp;$S$2)&gt;0), "V", "")</f>
        <v/>
      </c>
      <c r="E121" s="359" t="str">
        <f>IF(AND(C121&lt;&gt;"V",D121&lt;&gt;"V", COUNTIFS(IM!$F:$F, A121, IM!$AD:$AD, "O", IM!$X:$X, "&gt;="&amp;$R$3, IM!$X:$X, "&lt;="&amp;$S$3)&gt;0), "V", "")</f>
        <v/>
      </c>
      <c r="F121" s="237" t="str">
        <f t="shared" si="4"/>
        <v>未保養</v>
      </c>
      <c r="G121" s="237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43">
        <f>VLOOKUP(A121,門市主檔!A:U,21,FALSE)</f>
        <v>1</v>
      </c>
      <c r="I121" s="237" t="str">
        <f>VLOOKUP(A121,'0919門市清單主檔'!B:V,21,FALSE)</f>
        <v>蘆洲區</v>
      </c>
      <c r="J121" s="249">
        <v>45663.603472222225</v>
      </c>
      <c r="K121" s="238"/>
      <c r="L121" s="238"/>
      <c r="M121" s="238"/>
      <c r="N121" s="238"/>
      <c r="O121" s="238"/>
      <c r="P121" s="215" t="s">
        <v>55</v>
      </c>
      <c r="Q121" s="245" t="s">
        <v>4120</v>
      </c>
    </row>
    <row r="122" spans="1:17" ht="21.6" customHeight="1">
      <c r="A122" s="237">
        <v>2301</v>
      </c>
      <c r="B122" s="237" t="str">
        <f>VLOOKUP(A122,門市主檔!A:B,2,FALSE)</f>
        <v>蘆洲樂平店</v>
      </c>
      <c r="C122" s="359" t="str">
        <f>IF(COUNTIFS(IM!$F:$F,A122,IM!$AD:$AD,"O",IM!$X:$X,"&gt;="&amp;$R$1, IM!$X:$X,"&lt;="&amp;$S$1)&gt;0,"V","")</f>
        <v/>
      </c>
      <c r="D122" s="359" t="str">
        <f>IF(AND(C122&lt;&gt;"V", COUNTIFS(IM!$F:$F,A122, IM!$AD:$AD, "O", IM!$X:$X, "&gt;="&amp;$R$2, IM!$X:$X, "&lt;="&amp;$S$2)&gt;0), "V", "")</f>
        <v/>
      </c>
      <c r="E122" s="359" t="str">
        <f>IF(AND(C122&lt;&gt;"V",D122&lt;&gt;"V", COUNTIFS(IM!$F:$F, A122, IM!$AD:$AD, "O", IM!$X:$X, "&gt;="&amp;$R$3, IM!$X:$X, "&lt;="&amp;$S$3)&gt;0), "V", "")</f>
        <v/>
      </c>
      <c r="F122" s="237" t="str">
        <f t="shared" si="4"/>
        <v>未保養</v>
      </c>
      <c r="G122" s="237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43">
        <f>VLOOKUP(A122,門市主檔!A:U,21,FALSE)</f>
        <v>2</v>
      </c>
      <c r="I122" s="237" t="str">
        <f>VLOOKUP(A122,'0919門市清單主檔'!B:V,21,FALSE)</f>
        <v>蘆洲區</v>
      </c>
      <c r="J122" s="249">
        <v>45664.546527777777</v>
      </c>
      <c r="K122" s="238"/>
      <c r="L122" s="238"/>
      <c r="M122" s="238"/>
      <c r="N122" s="238"/>
      <c r="O122" s="238"/>
      <c r="P122" s="215"/>
      <c r="Q122" s="245" t="s">
        <v>4120</v>
      </c>
    </row>
    <row r="123" spans="1:17" ht="21.6" customHeight="1">
      <c r="A123" s="237">
        <v>5082</v>
      </c>
      <c r="B123" s="237" t="str">
        <f>VLOOKUP(A123,門市主檔!A:B,2,FALSE)</f>
        <v>蘆洲水湳店</v>
      </c>
      <c r="C123" s="359" t="str">
        <f>IF(COUNTIFS(IM!$F:$F,A123,IM!$AD:$AD,"O",IM!$X:$X,"&gt;="&amp;$R$1, IM!$X:$X,"&lt;="&amp;$S$1)&gt;0,"V","")</f>
        <v/>
      </c>
      <c r="D123" s="359" t="str">
        <f>IF(AND(C123&lt;&gt;"V", COUNTIFS(IM!$F:$F,A123, IM!$AD:$AD, "O", IM!$X:$X, "&gt;="&amp;$R$2, IM!$X:$X, "&lt;="&amp;$S$2)&gt;0), "V", "")</f>
        <v/>
      </c>
      <c r="E123" s="359" t="str">
        <f>IF(AND(C123&lt;&gt;"V",D123&lt;&gt;"V", COUNTIFS(IM!$F:$F, A123, IM!$AD:$AD, "O", IM!$X:$X, "&gt;="&amp;$R$3, IM!$X:$X, "&lt;="&amp;$S$3)&gt;0), "V", "")</f>
        <v/>
      </c>
      <c r="F123" s="237" t="str">
        <f t="shared" si="4"/>
        <v>未保養</v>
      </c>
      <c r="G123" s="237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43">
        <f>VLOOKUP(A123,門市主檔!A:U,21,FALSE)</f>
        <v>0</v>
      </c>
      <c r="I123" s="237" t="str">
        <f>VLOOKUP(A123,'0919門市清單主檔'!B:V,21,FALSE)</f>
        <v>蘆洲區</v>
      </c>
      <c r="J123" s="249">
        <v>45664.530555555553</v>
      </c>
      <c r="K123" s="238"/>
      <c r="L123" s="238"/>
      <c r="M123" s="238"/>
      <c r="N123" s="238"/>
      <c r="O123" s="238"/>
      <c r="P123" s="215"/>
      <c r="Q123" s="245" t="s">
        <v>4120</v>
      </c>
    </row>
    <row r="124" spans="1:17" ht="21.6" customHeight="1">
      <c r="A124" s="237">
        <v>5197</v>
      </c>
      <c r="B124" s="237" t="str">
        <f>VLOOKUP(A124,門市主檔!A:B,2,FALSE)</f>
        <v>蘆洲鴻悅店</v>
      </c>
      <c r="C124" s="359" t="str">
        <f>IF(COUNTIFS(IM!$F:$F,A124,IM!$AD:$AD,"O",IM!$X:$X,"&gt;="&amp;$R$1, IM!$X:$X,"&lt;="&amp;$S$1)&gt;0,"V","")</f>
        <v/>
      </c>
      <c r="D124" s="359" t="str">
        <f>IF(AND(C124&lt;&gt;"V", COUNTIFS(IM!$F:$F,A124, IM!$AD:$AD, "O", IM!$X:$X, "&gt;="&amp;$R$2, IM!$X:$X, "&lt;="&amp;$S$2)&gt;0), "V", "")</f>
        <v/>
      </c>
      <c r="E124" s="359" t="str">
        <f>IF(AND(C124&lt;&gt;"V",D124&lt;&gt;"V", COUNTIFS(IM!$F:$F, A124, IM!$AD:$AD, "O", IM!$X:$X, "&gt;="&amp;$R$3, IM!$X:$X, "&lt;="&amp;$S$3)&gt;0), "V", "")</f>
        <v/>
      </c>
      <c r="F124" s="237" t="str">
        <f t="shared" si="4"/>
        <v>未保養</v>
      </c>
      <c r="G124" s="237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43">
        <f>VLOOKUP(A124,門市主檔!A:U,21,FALSE)</f>
        <v>0</v>
      </c>
      <c r="I124" s="237" t="str">
        <f>VLOOKUP(A124,'0919門市清單主檔'!B:V,21,FALSE)</f>
        <v>蘆洲區</v>
      </c>
      <c r="J124" s="249">
        <v>45673.673611111109</v>
      </c>
      <c r="K124" s="238"/>
      <c r="L124" s="238"/>
      <c r="M124" s="238"/>
      <c r="N124" s="238"/>
      <c r="O124" s="238"/>
      <c r="P124" s="215"/>
      <c r="Q124" s="245" t="s">
        <v>4120</v>
      </c>
    </row>
    <row r="125" spans="1:17" ht="19.5" customHeight="1">
      <c r="A125" s="238"/>
      <c r="B125" s="238"/>
      <c r="C125" s="360"/>
      <c r="D125" s="360"/>
      <c r="E125" s="360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15"/>
      <c r="Q125" s="215"/>
    </row>
    <row r="126" spans="1:17" ht="19.5" customHeight="1">
      <c r="A126" s="238"/>
      <c r="B126" s="238"/>
      <c r="C126" s="360"/>
      <c r="D126" s="360"/>
      <c r="E126" s="360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15"/>
      <c r="Q126" s="215"/>
    </row>
    <row r="127" spans="1:17" ht="19.5" customHeight="1">
      <c r="A127" s="238"/>
      <c r="B127" s="238"/>
      <c r="C127" s="360"/>
      <c r="D127" s="360"/>
      <c r="E127" s="360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15"/>
      <c r="Q127" s="215"/>
    </row>
    <row r="128" spans="1:17" ht="19.5" customHeight="1">
      <c r="A128" s="238"/>
      <c r="B128" s="238"/>
      <c r="C128" s="360"/>
      <c r="D128" s="360"/>
      <c r="E128" s="360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15"/>
      <c r="Q128" s="215"/>
    </row>
    <row r="129" spans="1:17" ht="19.5" customHeight="1">
      <c r="A129" s="238"/>
      <c r="B129" s="238"/>
      <c r="C129" s="360"/>
      <c r="D129" s="360"/>
      <c r="E129" s="360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15"/>
      <c r="Q129" s="215"/>
    </row>
    <row r="130" spans="1:17" ht="19.5" customHeight="1">
      <c r="A130" s="238"/>
      <c r="B130" s="238"/>
      <c r="C130" s="360"/>
      <c r="D130" s="360"/>
      <c r="E130" s="360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15"/>
      <c r="Q130" s="215"/>
    </row>
    <row r="131" spans="1:17" ht="19.5" customHeight="1">
      <c r="A131" s="238"/>
      <c r="B131" s="238"/>
      <c r="C131" s="360"/>
      <c r="D131" s="360"/>
      <c r="E131" s="360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15"/>
      <c r="Q131" s="215"/>
    </row>
    <row r="132" spans="1:17" ht="19.5" customHeight="1">
      <c r="A132" s="238"/>
      <c r="B132" s="238"/>
      <c r="C132" s="360"/>
      <c r="D132" s="360"/>
      <c r="E132" s="360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15"/>
      <c r="Q132" s="215"/>
    </row>
    <row r="133" spans="1:17" ht="19.5" customHeight="1">
      <c r="A133" s="238"/>
      <c r="B133" s="238"/>
      <c r="C133" s="360"/>
      <c r="D133" s="360"/>
      <c r="E133" s="360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15"/>
      <c r="Q133" s="215"/>
    </row>
    <row r="134" spans="1:17" ht="19.5" customHeight="1">
      <c r="A134" s="238"/>
      <c r="B134" s="238"/>
      <c r="C134" s="360"/>
      <c r="D134" s="360"/>
      <c r="E134" s="360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15"/>
      <c r="Q134" s="215"/>
    </row>
    <row r="135" spans="1:17" ht="19.5" customHeight="1">
      <c r="A135" s="238"/>
      <c r="B135" s="238"/>
      <c r="C135" s="360"/>
      <c r="D135" s="360"/>
      <c r="E135" s="360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15"/>
      <c r="Q135" s="215"/>
    </row>
    <row r="136" spans="1:17" ht="19.5" customHeight="1">
      <c r="A136" s="238"/>
      <c r="B136" s="238"/>
      <c r="C136" s="360"/>
      <c r="D136" s="360"/>
      <c r="E136" s="360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15"/>
      <c r="Q136" s="215"/>
    </row>
    <row r="137" spans="1:17" ht="19.5" customHeight="1">
      <c r="A137" s="238"/>
      <c r="B137" s="238"/>
      <c r="C137" s="360"/>
      <c r="D137" s="360"/>
      <c r="E137" s="360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15"/>
      <c r="Q137" s="215"/>
    </row>
    <row r="138" spans="1:17" ht="19.5" customHeight="1">
      <c r="A138" s="238"/>
      <c r="B138" s="238"/>
      <c r="C138" s="360"/>
      <c r="D138" s="360"/>
      <c r="E138" s="360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15"/>
      <c r="Q138" s="215"/>
    </row>
    <row r="139" spans="1:17" ht="19.5" customHeight="1">
      <c r="A139" s="238"/>
      <c r="B139" s="238"/>
      <c r="C139" s="360"/>
      <c r="D139" s="360"/>
      <c r="E139" s="360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15"/>
      <c r="Q139" s="215"/>
    </row>
    <row r="140" spans="1:17" ht="19.5" customHeight="1">
      <c r="A140" s="238"/>
      <c r="B140" s="238"/>
      <c r="C140" s="360"/>
      <c r="D140" s="360"/>
      <c r="E140" s="360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15"/>
      <c r="Q140" s="215"/>
    </row>
    <row r="141" spans="1:17" ht="19.5" customHeight="1">
      <c r="A141" s="238"/>
      <c r="B141" s="238"/>
      <c r="C141" s="360"/>
      <c r="D141" s="360"/>
      <c r="E141" s="360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15"/>
      <c r="Q141" s="215"/>
    </row>
    <row r="142" spans="1:17" ht="19.5" customHeight="1">
      <c r="A142" s="238"/>
      <c r="B142" s="238"/>
      <c r="C142" s="360"/>
      <c r="D142" s="360"/>
      <c r="E142" s="360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15"/>
      <c r="Q142" s="215"/>
    </row>
    <row r="143" spans="1:17" ht="19.5" customHeight="1">
      <c r="A143" s="238"/>
      <c r="B143" s="238"/>
      <c r="C143" s="360"/>
      <c r="D143" s="360"/>
      <c r="E143" s="360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15"/>
      <c r="Q143" s="215"/>
    </row>
    <row r="144" spans="1:17" ht="19.5" customHeight="1">
      <c r="A144" s="238"/>
      <c r="B144" s="238"/>
      <c r="C144" s="360"/>
      <c r="D144" s="360"/>
      <c r="E144" s="360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15"/>
      <c r="Q144" s="215"/>
    </row>
    <row r="145" spans="1:17" ht="19.5" customHeight="1">
      <c r="A145" s="238"/>
      <c r="B145" s="238"/>
      <c r="C145" s="360"/>
      <c r="D145" s="360"/>
      <c r="E145" s="360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15"/>
      <c r="Q145" s="215"/>
    </row>
    <row r="146" spans="1:17" ht="19.5" customHeight="1">
      <c r="A146" s="238"/>
      <c r="B146" s="238"/>
      <c r="C146" s="360"/>
      <c r="D146" s="360"/>
      <c r="E146" s="360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15"/>
      <c r="Q146" s="215"/>
    </row>
    <row r="147" spans="1:17" ht="19.5" customHeight="1">
      <c r="A147" s="238"/>
      <c r="B147" s="238"/>
      <c r="C147" s="360"/>
      <c r="D147" s="360"/>
      <c r="E147" s="360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15"/>
      <c r="Q147" s="215"/>
    </row>
    <row r="148" spans="1:17" ht="19.5" customHeight="1">
      <c r="A148" s="238"/>
      <c r="B148" s="238"/>
      <c r="C148" s="360"/>
      <c r="D148" s="360"/>
      <c r="E148" s="360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15"/>
      <c r="Q148" s="215"/>
    </row>
    <row r="149" spans="1:17" ht="19.5" customHeight="1">
      <c r="A149" s="238"/>
      <c r="B149" s="238"/>
      <c r="C149" s="360"/>
      <c r="D149" s="360"/>
      <c r="E149" s="360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15"/>
      <c r="Q149" s="215"/>
    </row>
    <row r="150" spans="1:17" ht="19.5" customHeight="1">
      <c r="A150" s="238"/>
      <c r="B150" s="238"/>
      <c r="C150" s="360"/>
      <c r="D150" s="360"/>
      <c r="E150" s="360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15"/>
      <c r="Q150" s="215"/>
    </row>
    <row r="151" spans="1:17" ht="19.5" customHeight="1">
      <c r="A151" s="238"/>
      <c r="B151" s="238"/>
      <c r="C151" s="360"/>
      <c r="D151" s="360"/>
      <c r="E151" s="360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15"/>
      <c r="Q151" s="215"/>
    </row>
    <row r="152" spans="1:17" ht="19.5" customHeight="1">
      <c r="A152" s="238"/>
      <c r="B152" s="238"/>
      <c r="C152" s="360"/>
      <c r="D152" s="360"/>
      <c r="E152" s="360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15"/>
      <c r="Q152" s="215"/>
    </row>
    <row r="153" spans="1:17" ht="19.5" customHeight="1">
      <c r="A153" s="238"/>
      <c r="B153" s="238"/>
      <c r="C153" s="360"/>
      <c r="D153" s="360"/>
      <c r="E153" s="360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15"/>
      <c r="Q153" s="215"/>
    </row>
    <row r="154" spans="1:17" ht="19.5" customHeight="1">
      <c r="A154" s="238"/>
      <c r="B154" s="238"/>
      <c r="C154" s="360"/>
      <c r="D154" s="360"/>
      <c r="E154" s="360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15"/>
      <c r="Q154" s="215"/>
    </row>
    <row r="155" spans="1:17" ht="19.5" customHeight="1">
      <c r="A155" s="238"/>
      <c r="B155" s="238"/>
      <c r="C155" s="360"/>
      <c r="D155" s="360"/>
      <c r="E155" s="360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15"/>
      <c r="Q155" s="215"/>
    </row>
    <row r="156" spans="1:17" ht="19.5" customHeight="1">
      <c r="A156" s="238"/>
      <c r="B156" s="238"/>
      <c r="C156" s="360"/>
      <c r="D156" s="360"/>
      <c r="E156" s="360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15"/>
      <c r="Q156" s="215"/>
    </row>
    <row r="157" spans="1:17" ht="19.5" customHeight="1">
      <c r="A157" s="238"/>
      <c r="B157" s="238"/>
      <c r="C157" s="360"/>
      <c r="D157" s="360"/>
      <c r="E157" s="360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15"/>
      <c r="Q157" s="215"/>
    </row>
    <row r="158" spans="1:17" ht="19.5" customHeight="1">
      <c r="A158" s="238"/>
      <c r="B158" s="238"/>
      <c r="C158" s="360"/>
      <c r="D158" s="360"/>
      <c r="E158" s="360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15"/>
      <c r="Q158" s="215"/>
    </row>
    <row r="159" spans="1:17" ht="19.5" customHeight="1">
      <c r="A159" s="238"/>
      <c r="B159" s="238"/>
      <c r="C159" s="360"/>
      <c r="D159" s="360"/>
      <c r="E159" s="360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15"/>
      <c r="Q159" s="215"/>
    </row>
    <row r="160" spans="1:17" ht="19.5" customHeight="1">
      <c r="A160" s="238"/>
      <c r="B160" s="238"/>
      <c r="C160" s="360"/>
      <c r="D160" s="360"/>
      <c r="E160" s="360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15"/>
      <c r="Q160" s="215"/>
    </row>
    <row r="161" spans="1:17" ht="19.5" customHeight="1">
      <c r="A161" s="238"/>
      <c r="B161" s="238"/>
      <c r="C161" s="360"/>
      <c r="D161" s="360"/>
      <c r="E161" s="360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15"/>
      <c r="Q161" s="215"/>
    </row>
    <row r="162" spans="1:17" ht="19.5" customHeight="1">
      <c r="A162" s="238"/>
      <c r="B162" s="238"/>
      <c r="C162" s="360"/>
      <c r="D162" s="360"/>
      <c r="E162" s="360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15"/>
      <c r="Q162" s="215"/>
    </row>
    <row r="163" spans="1:17" ht="19.5" customHeight="1">
      <c r="A163" s="238"/>
      <c r="B163" s="238"/>
      <c r="C163" s="360"/>
      <c r="D163" s="360"/>
      <c r="E163" s="360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15"/>
      <c r="Q163" s="215"/>
    </row>
    <row r="164" spans="1:17" ht="19.5" customHeight="1">
      <c r="A164" s="238"/>
      <c r="B164" s="238"/>
      <c r="C164" s="360"/>
      <c r="D164" s="360"/>
      <c r="E164" s="360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15"/>
      <c r="Q164" s="215"/>
    </row>
    <row r="165" spans="1:17" ht="19.5" customHeight="1">
      <c r="A165" s="238"/>
      <c r="B165" s="238"/>
      <c r="C165" s="360"/>
      <c r="D165" s="360"/>
      <c r="E165" s="360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15"/>
      <c r="Q165" s="215"/>
    </row>
    <row r="166" spans="1:17" ht="19.5" customHeight="1">
      <c r="A166" s="238"/>
      <c r="B166" s="238"/>
      <c r="C166" s="360"/>
      <c r="D166" s="360"/>
      <c r="E166" s="360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15"/>
      <c r="Q166" s="215"/>
    </row>
    <row r="167" spans="1:17" ht="19.5" customHeight="1">
      <c r="A167" s="238"/>
      <c r="B167" s="238"/>
      <c r="C167" s="360"/>
      <c r="D167" s="360"/>
      <c r="E167" s="360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15"/>
      <c r="Q167" s="215"/>
    </row>
    <row r="168" spans="1:17" ht="19.5" customHeight="1">
      <c r="A168" s="238"/>
      <c r="B168" s="238"/>
      <c r="C168" s="360"/>
      <c r="D168" s="360"/>
      <c r="E168" s="360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15"/>
      <c r="Q168" s="215"/>
    </row>
    <row r="169" spans="1:17" ht="19.5" customHeight="1">
      <c r="A169" s="238"/>
      <c r="B169" s="238"/>
      <c r="C169" s="360"/>
      <c r="D169" s="360"/>
      <c r="E169" s="360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15"/>
      <c r="Q169" s="215"/>
    </row>
    <row r="170" spans="1:17" ht="19.5" customHeight="1">
      <c r="A170" s="238"/>
      <c r="B170" s="238"/>
      <c r="C170" s="360"/>
      <c r="D170" s="360"/>
      <c r="E170" s="360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15"/>
      <c r="Q170" s="215"/>
    </row>
    <row r="171" spans="1:17" ht="19.5" customHeight="1">
      <c r="A171" s="238"/>
      <c r="B171" s="238"/>
      <c r="C171" s="360"/>
      <c r="D171" s="360"/>
      <c r="E171" s="360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15"/>
      <c r="Q171" s="215"/>
    </row>
    <row r="172" spans="1:17" ht="19.5" customHeight="1">
      <c r="A172" s="238"/>
      <c r="B172" s="238"/>
      <c r="C172" s="360"/>
      <c r="D172" s="360"/>
      <c r="E172" s="360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15"/>
      <c r="Q172" s="215"/>
    </row>
    <row r="173" spans="1:17" ht="19.5" customHeight="1">
      <c r="A173" s="238"/>
      <c r="B173" s="238"/>
      <c r="C173" s="360"/>
      <c r="D173" s="360"/>
      <c r="E173" s="360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15"/>
      <c r="Q173" s="215"/>
    </row>
    <row r="174" spans="1:17" ht="19.5" customHeight="1">
      <c r="A174" s="238"/>
      <c r="B174" s="238"/>
      <c r="C174" s="360"/>
      <c r="D174" s="360"/>
      <c r="E174" s="360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15"/>
      <c r="Q174" s="215"/>
    </row>
    <row r="175" spans="1:17" ht="19.5" customHeight="1">
      <c r="A175" s="238"/>
      <c r="B175" s="238"/>
      <c r="C175" s="360"/>
      <c r="D175" s="360"/>
      <c r="E175" s="360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15"/>
      <c r="Q175" s="215"/>
    </row>
    <row r="176" spans="1:17" ht="19.5" customHeight="1">
      <c r="A176" s="238"/>
      <c r="B176" s="238"/>
      <c r="C176" s="360"/>
      <c r="D176" s="360"/>
      <c r="E176" s="360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15"/>
      <c r="Q176" s="215"/>
    </row>
    <row r="177" spans="1:17" ht="19.5" customHeight="1">
      <c r="A177" s="238"/>
      <c r="B177" s="238"/>
      <c r="C177" s="360"/>
      <c r="D177" s="360"/>
      <c r="E177" s="360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15"/>
      <c r="Q177" s="215"/>
    </row>
    <row r="178" spans="1:17" ht="19.5" customHeight="1">
      <c r="A178" s="238"/>
      <c r="B178" s="238"/>
      <c r="C178" s="360"/>
      <c r="D178" s="360"/>
      <c r="E178" s="360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15"/>
      <c r="Q178" s="215"/>
    </row>
    <row r="179" spans="1:17" ht="19.5" customHeight="1">
      <c r="A179" s="238"/>
      <c r="B179" s="238"/>
      <c r="C179" s="360"/>
      <c r="D179" s="360"/>
      <c r="E179" s="360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15"/>
      <c r="Q179" s="215"/>
    </row>
    <row r="180" spans="1:17" ht="19.5" customHeight="1">
      <c r="A180" s="238"/>
      <c r="B180" s="238"/>
      <c r="C180" s="360"/>
      <c r="D180" s="360"/>
      <c r="E180" s="360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15"/>
      <c r="Q180" s="215"/>
    </row>
    <row r="181" spans="1:17" ht="19.5" customHeight="1">
      <c r="A181" s="238"/>
      <c r="B181" s="238"/>
      <c r="C181" s="360"/>
      <c r="D181" s="360"/>
      <c r="E181" s="360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15"/>
      <c r="Q181" s="215"/>
    </row>
    <row r="182" spans="1:17" ht="19.5" customHeight="1">
      <c r="A182" s="238"/>
      <c r="B182" s="238"/>
      <c r="C182" s="360"/>
      <c r="D182" s="360"/>
      <c r="E182" s="360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15"/>
      <c r="Q182" s="215"/>
    </row>
    <row r="183" spans="1:17" ht="19.5" customHeight="1">
      <c r="A183" s="238"/>
      <c r="B183" s="238"/>
      <c r="C183" s="360"/>
      <c r="D183" s="360"/>
      <c r="E183" s="360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15"/>
      <c r="Q183" s="215"/>
    </row>
    <row r="184" spans="1:17" ht="19.5" customHeight="1">
      <c r="A184" s="238"/>
      <c r="B184" s="238"/>
      <c r="C184" s="360"/>
      <c r="D184" s="360"/>
      <c r="E184" s="360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15"/>
      <c r="Q184" s="215"/>
    </row>
    <row r="185" spans="1:17" ht="19.5" customHeight="1">
      <c r="A185" s="238"/>
      <c r="B185" s="238"/>
      <c r="C185" s="360"/>
      <c r="D185" s="360"/>
      <c r="E185" s="360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15"/>
      <c r="Q185" s="215"/>
    </row>
    <row r="186" spans="1:17" ht="19.5" customHeight="1">
      <c r="A186" s="238"/>
      <c r="B186" s="238"/>
      <c r="C186" s="360"/>
      <c r="D186" s="360"/>
      <c r="E186" s="360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15"/>
      <c r="Q186" s="215"/>
    </row>
    <row r="187" spans="1:17" ht="19.5" customHeight="1">
      <c r="A187" s="238"/>
      <c r="B187" s="238"/>
      <c r="C187" s="360"/>
      <c r="D187" s="360"/>
      <c r="E187" s="360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15"/>
      <c r="Q187" s="215"/>
    </row>
    <row r="188" spans="1:17" ht="19.5" customHeight="1">
      <c r="A188" s="238"/>
      <c r="B188" s="238"/>
      <c r="C188" s="360"/>
      <c r="D188" s="360"/>
      <c r="E188" s="360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15"/>
      <c r="Q188" s="215"/>
    </row>
    <row r="189" spans="1:17" ht="19.5" customHeight="1">
      <c r="A189" s="238"/>
      <c r="B189" s="238"/>
      <c r="C189" s="360"/>
      <c r="D189" s="360"/>
      <c r="E189" s="360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15"/>
      <c r="Q189" s="215"/>
    </row>
    <row r="190" spans="1:17" ht="19.5" customHeight="1">
      <c r="A190" s="238"/>
      <c r="B190" s="238"/>
      <c r="C190" s="360"/>
      <c r="D190" s="360"/>
      <c r="E190" s="360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15"/>
      <c r="Q190" s="215"/>
    </row>
    <row r="191" spans="1:17" ht="19.5" customHeight="1">
      <c r="A191" s="238"/>
      <c r="B191" s="238"/>
      <c r="C191" s="360"/>
      <c r="D191" s="360"/>
      <c r="E191" s="360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15"/>
      <c r="Q191" s="215"/>
    </row>
    <row r="192" spans="1:17" ht="19.5" customHeight="1">
      <c r="A192" s="238"/>
      <c r="B192" s="238"/>
      <c r="C192" s="360"/>
      <c r="D192" s="360"/>
      <c r="E192" s="360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15"/>
      <c r="Q192" s="215"/>
    </row>
    <row r="193" spans="1:17" ht="19.5" customHeight="1">
      <c r="A193" s="238"/>
      <c r="B193" s="238"/>
      <c r="C193" s="360"/>
      <c r="D193" s="360"/>
      <c r="E193" s="360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15"/>
      <c r="Q193" s="215"/>
    </row>
    <row r="194" spans="1:17" ht="19.5" customHeight="1">
      <c r="A194" s="238"/>
      <c r="B194" s="238"/>
      <c r="C194" s="360"/>
      <c r="D194" s="360"/>
      <c r="E194" s="360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15"/>
      <c r="Q194" s="215"/>
    </row>
    <row r="195" spans="1:17" ht="19.5" customHeight="1">
      <c r="A195" s="238"/>
      <c r="B195" s="238"/>
      <c r="C195" s="360"/>
      <c r="D195" s="360"/>
      <c r="E195" s="360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15"/>
      <c r="Q195" s="215"/>
    </row>
    <row r="196" spans="1:17" ht="19.5" customHeight="1">
      <c r="A196" s="238"/>
      <c r="B196" s="238"/>
      <c r="C196" s="360"/>
      <c r="D196" s="360"/>
      <c r="E196" s="360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15"/>
      <c r="Q196" s="215"/>
    </row>
    <row r="197" spans="1:17" ht="19.5" customHeight="1">
      <c r="A197" s="238"/>
      <c r="B197" s="238"/>
      <c r="C197" s="360"/>
      <c r="D197" s="360"/>
      <c r="E197" s="360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15"/>
      <c r="Q197" s="215"/>
    </row>
    <row r="198" spans="1:17" ht="19.5" customHeight="1">
      <c r="A198" s="238"/>
      <c r="B198" s="238"/>
      <c r="C198" s="360"/>
      <c r="D198" s="360"/>
      <c r="E198" s="360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15"/>
      <c r="Q198" s="215"/>
    </row>
    <row r="199" spans="1:17" ht="19.5" customHeight="1">
      <c r="A199" s="238"/>
      <c r="B199" s="238"/>
      <c r="C199" s="360"/>
      <c r="D199" s="360"/>
      <c r="E199" s="360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15"/>
      <c r="Q199" s="215"/>
    </row>
    <row r="200" spans="1:17" ht="19.5" customHeight="1">
      <c r="A200" s="238"/>
      <c r="B200" s="238"/>
      <c r="C200" s="360"/>
      <c r="D200" s="360"/>
      <c r="E200" s="360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15"/>
      <c r="Q200" s="215"/>
    </row>
    <row r="201" spans="1:17" ht="19.5" customHeight="1">
      <c r="A201" s="238"/>
      <c r="B201" s="238"/>
      <c r="C201" s="360"/>
      <c r="D201" s="360"/>
      <c r="E201" s="360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15"/>
      <c r="Q201" s="215"/>
    </row>
    <row r="202" spans="1:17" ht="19.5" customHeight="1">
      <c r="A202" s="238"/>
      <c r="B202" s="238"/>
      <c r="C202" s="360"/>
      <c r="D202" s="360"/>
      <c r="E202" s="360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15"/>
      <c r="Q202" s="215"/>
    </row>
    <row r="203" spans="1:17" ht="19.5" customHeight="1">
      <c r="A203" s="238"/>
      <c r="B203" s="238"/>
      <c r="C203" s="360"/>
      <c r="D203" s="360"/>
      <c r="E203" s="360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15"/>
      <c r="Q203" s="215"/>
    </row>
    <row r="204" spans="1:17" ht="19.5" customHeight="1">
      <c r="A204" s="238"/>
      <c r="B204" s="238"/>
      <c r="C204" s="360"/>
      <c r="D204" s="360"/>
      <c r="E204" s="360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15"/>
      <c r="Q204" s="215"/>
    </row>
    <row r="205" spans="1:17" ht="19.5" customHeight="1">
      <c r="A205" s="238"/>
      <c r="B205" s="238"/>
      <c r="C205" s="360"/>
      <c r="D205" s="360"/>
      <c r="E205" s="360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15"/>
      <c r="Q205" s="215"/>
    </row>
    <row r="206" spans="1:17" ht="19.5" customHeight="1">
      <c r="A206" s="238"/>
      <c r="B206" s="238"/>
      <c r="C206" s="360"/>
      <c r="D206" s="360"/>
      <c r="E206" s="360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15"/>
      <c r="Q206" s="215"/>
    </row>
    <row r="207" spans="1:17" ht="19.5" customHeight="1">
      <c r="A207" s="238"/>
      <c r="B207" s="238"/>
      <c r="C207" s="360"/>
      <c r="D207" s="360"/>
      <c r="E207" s="360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15"/>
      <c r="Q207" s="215"/>
    </row>
    <row r="208" spans="1:17" ht="19.5" customHeight="1">
      <c r="A208" s="238"/>
      <c r="B208" s="238"/>
      <c r="C208" s="360"/>
      <c r="D208" s="360"/>
      <c r="E208" s="360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15"/>
      <c r="Q208" s="215"/>
    </row>
    <row r="209" spans="1:17" ht="19.5" customHeight="1">
      <c r="A209" s="238"/>
      <c r="B209" s="238"/>
      <c r="C209" s="360"/>
      <c r="D209" s="360"/>
      <c r="E209" s="360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15"/>
      <c r="Q209" s="215"/>
    </row>
    <row r="210" spans="1:17" ht="19.5" customHeight="1">
      <c r="A210" s="238"/>
      <c r="B210" s="238"/>
      <c r="C210" s="360"/>
      <c r="D210" s="360"/>
      <c r="E210" s="360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15"/>
      <c r="Q210" s="215"/>
    </row>
    <row r="211" spans="1:17" ht="19.5" customHeight="1">
      <c r="A211" s="238"/>
      <c r="B211" s="238"/>
      <c r="C211" s="360"/>
      <c r="D211" s="360"/>
      <c r="E211" s="360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15"/>
      <c r="Q211" s="215"/>
    </row>
    <row r="212" spans="1:17" ht="19.5" customHeight="1">
      <c r="A212" s="238"/>
      <c r="B212" s="238"/>
      <c r="C212" s="360"/>
      <c r="D212" s="360"/>
      <c r="E212" s="360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15"/>
      <c r="Q212" s="215"/>
    </row>
    <row r="213" spans="1:17" ht="19.5" customHeight="1">
      <c r="A213" s="238"/>
      <c r="B213" s="238"/>
      <c r="C213" s="360"/>
      <c r="D213" s="360"/>
      <c r="E213" s="360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15"/>
      <c r="Q213" s="215"/>
    </row>
    <row r="214" spans="1:17" ht="19.5" customHeight="1">
      <c r="A214" s="238"/>
      <c r="B214" s="238"/>
      <c r="C214" s="360"/>
      <c r="D214" s="360"/>
      <c r="E214" s="360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15"/>
      <c r="Q214" s="215"/>
    </row>
    <row r="215" spans="1:17" ht="19.5" customHeight="1">
      <c r="A215" s="238"/>
      <c r="B215" s="238"/>
      <c r="C215" s="360"/>
      <c r="D215" s="360"/>
      <c r="E215" s="360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15"/>
      <c r="Q215" s="215"/>
    </row>
    <row r="216" spans="1:17" ht="19.5" customHeight="1">
      <c r="A216" s="238"/>
      <c r="B216" s="238"/>
      <c r="C216" s="360"/>
      <c r="D216" s="360"/>
      <c r="E216" s="360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15"/>
      <c r="Q216" s="215"/>
    </row>
    <row r="217" spans="1:17" ht="19.5" customHeight="1">
      <c r="A217" s="238"/>
      <c r="B217" s="238"/>
      <c r="C217" s="360"/>
      <c r="D217" s="360"/>
      <c r="E217" s="360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15"/>
      <c r="Q217" s="215"/>
    </row>
    <row r="218" spans="1:17" ht="19.5" customHeight="1">
      <c r="A218" s="238"/>
      <c r="B218" s="238"/>
      <c r="C218" s="360"/>
      <c r="D218" s="360"/>
      <c r="E218" s="360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15"/>
      <c r="Q218" s="215"/>
    </row>
    <row r="219" spans="1:17" ht="19.5" customHeight="1">
      <c r="A219" s="238"/>
      <c r="B219" s="238"/>
      <c r="C219" s="360"/>
      <c r="D219" s="360"/>
      <c r="E219" s="360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15"/>
      <c r="Q219" s="215"/>
    </row>
    <row r="220" spans="1:17" ht="19.5" customHeight="1">
      <c r="A220" s="238"/>
      <c r="B220" s="238"/>
      <c r="C220" s="360"/>
      <c r="D220" s="360"/>
      <c r="E220" s="360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15"/>
      <c r="Q220" s="215"/>
    </row>
    <row r="221" spans="1:17" ht="19.5" customHeight="1">
      <c r="A221" s="238"/>
      <c r="B221" s="238"/>
      <c r="C221" s="360"/>
      <c r="D221" s="360"/>
      <c r="E221" s="360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15"/>
      <c r="Q221" s="215"/>
    </row>
    <row r="222" spans="1:17" ht="19.5" customHeight="1">
      <c r="A222" s="238"/>
      <c r="B222" s="238"/>
      <c r="C222" s="360"/>
      <c r="D222" s="360"/>
      <c r="E222" s="360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15"/>
      <c r="Q222" s="215"/>
    </row>
    <row r="223" spans="1:17" ht="19.5" customHeight="1">
      <c r="A223" s="238"/>
      <c r="B223" s="238"/>
      <c r="C223" s="360"/>
      <c r="D223" s="360"/>
      <c r="E223" s="360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15"/>
      <c r="Q223" s="215"/>
    </row>
    <row r="224" spans="1:17" ht="19.5" customHeight="1">
      <c r="A224" s="238"/>
      <c r="B224" s="238"/>
      <c r="C224" s="360"/>
      <c r="D224" s="360"/>
      <c r="E224" s="360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15"/>
      <c r="Q224" s="215"/>
    </row>
    <row r="225" spans="1:17" ht="19.5" customHeight="1">
      <c r="A225" s="238"/>
      <c r="B225" s="238"/>
      <c r="C225" s="360"/>
      <c r="D225" s="360"/>
      <c r="E225" s="360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15"/>
      <c r="Q225" s="215"/>
    </row>
    <row r="226" spans="1:17" ht="19.5" customHeight="1">
      <c r="A226" s="238"/>
      <c r="B226" s="238"/>
      <c r="C226" s="360"/>
      <c r="D226" s="360"/>
      <c r="E226" s="360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15"/>
      <c r="Q226" s="215"/>
    </row>
    <row r="227" spans="1:17" ht="19.5" customHeight="1">
      <c r="A227" s="238"/>
      <c r="B227" s="238"/>
      <c r="C227" s="360"/>
      <c r="D227" s="360"/>
      <c r="E227" s="360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15"/>
      <c r="Q227" s="215"/>
    </row>
    <row r="228" spans="1:17" ht="19.5" customHeight="1">
      <c r="A228" s="238"/>
      <c r="B228" s="238"/>
      <c r="C228" s="360"/>
      <c r="D228" s="360"/>
      <c r="E228" s="360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15"/>
      <c r="Q228" s="215"/>
    </row>
    <row r="229" spans="1:17" ht="19.5" customHeight="1">
      <c r="A229" s="238"/>
      <c r="B229" s="238"/>
      <c r="C229" s="360"/>
      <c r="D229" s="360"/>
      <c r="E229" s="360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15"/>
      <c r="Q229" s="215"/>
    </row>
    <row r="230" spans="1:17" ht="19.5" customHeight="1">
      <c r="A230" s="238"/>
      <c r="B230" s="238"/>
      <c r="C230" s="360"/>
      <c r="D230" s="360"/>
      <c r="E230" s="360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15"/>
      <c r="Q230" s="215"/>
    </row>
    <row r="231" spans="1:17" ht="19.5" customHeight="1">
      <c r="A231" s="238"/>
      <c r="B231" s="238"/>
      <c r="C231" s="360"/>
      <c r="D231" s="360"/>
      <c r="E231" s="360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15"/>
      <c r="Q231" s="215"/>
    </row>
    <row r="232" spans="1:17" ht="19.5" customHeight="1">
      <c r="A232" s="238"/>
      <c r="B232" s="238"/>
      <c r="C232" s="360"/>
      <c r="D232" s="360"/>
      <c r="E232" s="360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15"/>
      <c r="Q232" s="215"/>
    </row>
    <row r="233" spans="1:17" ht="19.5" customHeight="1">
      <c r="A233" s="238"/>
      <c r="B233" s="238"/>
      <c r="C233" s="360"/>
      <c r="D233" s="360"/>
      <c r="E233" s="360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15"/>
      <c r="Q233" s="215"/>
    </row>
    <row r="234" spans="1:17" ht="19.5" customHeight="1">
      <c r="A234" s="238"/>
      <c r="B234" s="238"/>
      <c r="C234" s="360"/>
      <c r="D234" s="360"/>
      <c r="E234" s="360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15"/>
      <c r="Q234" s="215"/>
    </row>
    <row r="235" spans="1:17" ht="19.5" customHeight="1">
      <c r="A235" s="238"/>
      <c r="B235" s="238"/>
      <c r="C235" s="360"/>
      <c r="D235" s="360"/>
      <c r="E235" s="360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15"/>
      <c r="Q235" s="215"/>
    </row>
    <row r="236" spans="1:17" ht="19.5" customHeight="1">
      <c r="A236" s="238"/>
      <c r="B236" s="238"/>
      <c r="C236" s="360"/>
      <c r="D236" s="360"/>
      <c r="E236" s="360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15"/>
      <c r="Q236" s="215"/>
    </row>
    <row r="237" spans="1:17" ht="19.5" customHeight="1">
      <c r="A237" s="238"/>
      <c r="B237" s="238"/>
      <c r="C237" s="360"/>
      <c r="D237" s="360"/>
      <c r="E237" s="360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15"/>
      <c r="Q237" s="215"/>
    </row>
    <row r="238" spans="1:17" ht="19.5" customHeight="1">
      <c r="A238" s="238"/>
      <c r="B238" s="238"/>
      <c r="C238" s="360"/>
      <c r="D238" s="360"/>
      <c r="E238" s="360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15"/>
      <c r="Q238" s="215"/>
    </row>
    <row r="239" spans="1:17" ht="19.5" customHeight="1">
      <c r="A239" s="238"/>
      <c r="B239" s="238"/>
      <c r="C239" s="360"/>
      <c r="D239" s="360"/>
      <c r="E239" s="360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15"/>
      <c r="Q239" s="215"/>
    </row>
    <row r="240" spans="1:17" ht="19.5" customHeight="1">
      <c r="A240" s="238"/>
      <c r="B240" s="238"/>
      <c r="C240" s="360"/>
      <c r="D240" s="360"/>
      <c r="E240" s="360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15"/>
      <c r="Q240" s="215"/>
    </row>
    <row r="241" spans="1:17" ht="19.5" customHeight="1">
      <c r="A241" s="238"/>
      <c r="B241" s="238"/>
      <c r="C241" s="360"/>
      <c r="D241" s="360"/>
      <c r="E241" s="360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15"/>
      <c r="Q241" s="215"/>
    </row>
    <row r="242" spans="1:17" ht="19.5" customHeight="1">
      <c r="A242" s="238"/>
      <c r="B242" s="238"/>
      <c r="C242" s="360"/>
      <c r="D242" s="360"/>
      <c r="E242" s="360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15"/>
      <c r="Q242" s="215"/>
    </row>
    <row r="243" spans="1:17" ht="19.5" customHeight="1">
      <c r="A243" s="238"/>
      <c r="B243" s="238"/>
      <c r="C243" s="360"/>
      <c r="D243" s="360"/>
      <c r="E243" s="360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15"/>
      <c r="Q243" s="215"/>
    </row>
    <row r="244" spans="1:17" ht="19.5" customHeight="1">
      <c r="A244" s="238"/>
      <c r="B244" s="238"/>
      <c r="C244" s="360"/>
      <c r="D244" s="360"/>
      <c r="E244" s="360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15"/>
      <c r="Q244" s="215"/>
    </row>
    <row r="245" spans="1:17" ht="19.5" customHeight="1">
      <c r="A245" s="238"/>
      <c r="B245" s="238"/>
      <c r="C245" s="360"/>
      <c r="D245" s="360"/>
      <c r="E245" s="360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15"/>
      <c r="Q245" s="215"/>
    </row>
    <row r="246" spans="1:17" ht="19.5" customHeight="1">
      <c r="A246" s="238"/>
      <c r="B246" s="238"/>
      <c r="C246" s="360"/>
      <c r="D246" s="360"/>
      <c r="E246" s="360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15"/>
      <c r="Q246" s="215"/>
    </row>
    <row r="247" spans="1:17" ht="19.5" customHeight="1">
      <c r="A247" s="238"/>
      <c r="B247" s="238"/>
      <c r="C247" s="360"/>
      <c r="D247" s="360"/>
      <c r="E247" s="360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15"/>
      <c r="Q247" s="215"/>
    </row>
    <row r="248" spans="1:17" ht="19.5" customHeight="1">
      <c r="A248" s="238"/>
      <c r="B248" s="238"/>
      <c r="C248" s="360"/>
      <c r="D248" s="360"/>
      <c r="E248" s="360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15"/>
      <c r="Q248" s="215"/>
    </row>
    <row r="249" spans="1:17" ht="19.5" customHeight="1">
      <c r="A249" s="238"/>
      <c r="B249" s="238"/>
      <c r="C249" s="360"/>
      <c r="D249" s="360"/>
      <c r="E249" s="360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15"/>
      <c r="Q249" s="215"/>
    </row>
    <row r="250" spans="1:17" ht="19.5" customHeight="1">
      <c r="A250" s="238"/>
      <c r="B250" s="238"/>
      <c r="C250" s="360"/>
      <c r="D250" s="360"/>
      <c r="E250" s="360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15"/>
      <c r="Q250" s="215"/>
    </row>
    <row r="251" spans="1:17" ht="19.5" customHeight="1">
      <c r="A251" s="238"/>
      <c r="B251" s="238"/>
      <c r="C251" s="360"/>
      <c r="D251" s="360"/>
      <c r="E251" s="360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15"/>
      <c r="Q251" s="215"/>
    </row>
    <row r="252" spans="1:17" ht="19.5" customHeight="1">
      <c r="A252" s="238"/>
      <c r="B252" s="238"/>
      <c r="C252" s="360"/>
      <c r="D252" s="360"/>
      <c r="E252" s="360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15"/>
      <c r="Q252" s="215"/>
    </row>
    <row r="253" spans="1:17" ht="19.5" customHeight="1">
      <c r="A253" s="238"/>
      <c r="B253" s="238"/>
      <c r="C253" s="360"/>
      <c r="D253" s="360"/>
      <c r="E253" s="360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15"/>
      <c r="Q253" s="215"/>
    </row>
    <row r="254" spans="1:17" ht="19.5" customHeight="1">
      <c r="A254" s="238"/>
      <c r="B254" s="238"/>
      <c r="C254" s="360"/>
      <c r="D254" s="360"/>
      <c r="E254" s="360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15"/>
      <c r="Q254" s="215"/>
    </row>
    <row r="255" spans="1:17" ht="19.5" customHeight="1">
      <c r="A255" s="238"/>
      <c r="B255" s="238"/>
      <c r="C255" s="360"/>
      <c r="D255" s="360"/>
      <c r="E255" s="360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15"/>
      <c r="Q255" s="215"/>
    </row>
    <row r="256" spans="1:17" ht="19.5" customHeight="1">
      <c r="A256" s="238"/>
      <c r="B256" s="238"/>
      <c r="C256" s="360"/>
      <c r="D256" s="360"/>
      <c r="E256" s="360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15"/>
      <c r="Q256" s="215"/>
    </row>
    <row r="257" spans="1:17" ht="19.5" customHeight="1">
      <c r="A257" s="238"/>
      <c r="B257" s="238"/>
      <c r="C257" s="360"/>
      <c r="D257" s="360"/>
      <c r="E257" s="360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15"/>
      <c r="Q257" s="215"/>
    </row>
    <row r="258" spans="1:17" ht="19.5" customHeight="1">
      <c r="A258" s="238"/>
      <c r="B258" s="238"/>
      <c r="C258" s="360"/>
      <c r="D258" s="360"/>
      <c r="E258" s="360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15"/>
      <c r="Q258" s="215"/>
    </row>
    <row r="259" spans="1:17" ht="19.5" customHeight="1">
      <c r="A259" s="238"/>
      <c r="B259" s="238"/>
      <c r="C259" s="360"/>
      <c r="D259" s="360"/>
      <c r="E259" s="360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15"/>
      <c r="Q259" s="215"/>
    </row>
    <row r="260" spans="1:17" ht="19.5" customHeight="1">
      <c r="A260" s="238"/>
      <c r="B260" s="238"/>
      <c r="C260" s="360"/>
      <c r="D260" s="360"/>
      <c r="E260" s="360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15"/>
      <c r="Q260" s="215"/>
    </row>
    <row r="261" spans="1:17" ht="19.5" customHeight="1">
      <c r="A261" s="238"/>
      <c r="B261" s="238"/>
      <c r="C261" s="360"/>
      <c r="D261" s="360"/>
      <c r="E261" s="360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15"/>
      <c r="Q261" s="215"/>
    </row>
    <row r="262" spans="1:17" ht="19.5" customHeight="1">
      <c r="A262" s="238"/>
      <c r="B262" s="238"/>
      <c r="C262" s="360"/>
      <c r="D262" s="360"/>
      <c r="E262" s="360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15"/>
      <c r="Q262" s="215"/>
    </row>
    <row r="263" spans="1:17" ht="19.5" customHeight="1">
      <c r="A263" s="238"/>
      <c r="B263" s="238"/>
      <c r="C263" s="360"/>
      <c r="D263" s="360"/>
      <c r="E263" s="360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15"/>
      <c r="Q263" s="215"/>
    </row>
    <row r="264" spans="1:17" ht="19.5" customHeight="1">
      <c r="A264" s="238"/>
      <c r="B264" s="238"/>
      <c r="C264" s="360"/>
      <c r="D264" s="360"/>
      <c r="E264" s="360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15"/>
      <c r="Q264" s="215"/>
    </row>
    <row r="265" spans="1:17" ht="19.5" customHeight="1">
      <c r="A265" s="238"/>
      <c r="B265" s="238"/>
      <c r="C265" s="360"/>
      <c r="D265" s="360"/>
      <c r="E265" s="360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15"/>
      <c r="Q265" s="215"/>
    </row>
    <row r="266" spans="1:17" ht="19.5" customHeight="1">
      <c r="A266" s="238"/>
      <c r="B266" s="238"/>
      <c r="C266" s="360"/>
      <c r="D266" s="360"/>
      <c r="E266" s="360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15"/>
      <c r="Q266" s="215"/>
    </row>
    <row r="267" spans="1:17" ht="19.5" customHeight="1">
      <c r="A267" s="238"/>
      <c r="B267" s="238"/>
      <c r="C267" s="360"/>
      <c r="D267" s="360"/>
      <c r="E267" s="360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15"/>
      <c r="Q267" s="215"/>
    </row>
    <row r="268" spans="1:17" ht="19.5" customHeight="1">
      <c r="A268" s="238"/>
      <c r="B268" s="238"/>
      <c r="C268" s="360"/>
      <c r="D268" s="360"/>
      <c r="E268" s="360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15"/>
      <c r="Q268" s="215"/>
    </row>
    <row r="269" spans="1:17" ht="19.5" customHeight="1">
      <c r="A269" s="238"/>
      <c r="B269" s="238"/>
      <c r="C269" s="360"/>
      <c r="D269" s="360"/>
      <c r="E269" s="360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15"/>
      <c r="Q269" s="215"/>
    </row>
    <row r="270" spans="1:17" ht="19.5" customHeight="1">
      <c r="A270" s="238"/>
      <c r="B270" s="238"/>
      <c r="C270" s="360"/>
      <c r="D270" s="360"/>
      <c r="E270" s="360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15"/>
      <c r="Q270" s="215"/>
    </row>
    <row r="271" spans="1:17" ht="19.5" customHeight="1">
      <c r="A271" s="238"/>
      <c r="B271" s="238"/>
      <c r="C271" s="360"/>
      <c r="D271" s="360"/>
      <c r="E271" s="360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15"/>
      <c r="Q271" s="215"/>
    </row>
    <row r="272" spans="1:17" ht="19.5" customHeight="1">
      <c r="A272" s="238"/>
      <c r="B272" s="238"/>
      <c r="C272" s="360"/>
      <c r="D272" s="360"/>
      <c r="E272" s="360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15"/>
      <c r="Q272" s="215"/>
    </row>
    <row r="273" spans="1:17" ht="19.5" customHeight="1">
      <c r="A273" s="238"/>
      <c r="B273" s="238"/>
      <c r="C273" s="360"/>
      <c r="D273" s="360"/>
      <c r="E273" s="360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15"/>
      <c r="Q273" s="215"/>
    </row>
    <row r="274" spans="1:17" ht="15.75" customHeight="1">
      <c r="A274" s="238"/>
      <c r="B274" s="238"/>
      <c r="C274" s="361"/>
      <c r="D274" s="361"/>
      <c r="E274" s="361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15"/>
      <c r="Q274" s="215"/>
    </row>
    <row r="275" spans="1:17" ht="15.75" customHeight="1">
      <c r="A275" s="238"/>
      <c r="B275" s="238"/>
      <c r="C275" s="361"/>
      <c r="D275" s="361"/>
      <c r="E275" s="361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15"/>
      <c r="Q275" s="215"/>
    </row>
    <row r="276" spans="1:17" ht="15.75" customHeight="1">
      <c r="A276" s="238"/>
      <c r="B276" s="238"/>
      <c r="C276" s="361"/>
      <c r="D276" s="361"/>
      <c r="E276" s="361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15"/>
      <c r="Q276" s="215"/>
    </row>
    <row r="277" spans="1:17" ht="15.75" customHeight="1">
      <c r="A277" s="238"/>
      <c r="B277" s="238"/>
      <c r="C277" s="361"/>
      <c r="D277" s="361"/>
      <c r="E277" s="361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15"/>
      <c r="Q277" s="215"/>
    </row>
    <row r="278" spans="1:17" ht="15.75" customHeight="1">
      <c r="A278" s="238"/>
      <c r="B278" s="238"/>
      <c r="C278" s="361"/>
      <c r="D278" s="361"/>
      <c r="E278" s="361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15"/>
      <c r="Q278" s="215"/>
    </row>
    <row r="279" spans="1:17" ht="15.75" customHeight="1">
      <c r="A279" s="238"/>
      <c r="B279" s="238"/>
      <c r="C279" s="361"/>
      <c r="D279" s="361"/>
      <c r="E279" s="361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53" priority="363">
      <formula>COUNTIF($A4:$A4, "Yes") = 1</formula>
    </cfRule>
  </conditionalFormatting>
  <conditionalFormatting sqref="B1 B4:B123 B125:B983">
    <cfRule type="expression" dxfId="352" priority="458">
      <formula>COUNTIF(#REF!, "Yes") = 1</formula>
    </cfRule>
  </conditionalFormatting>
  <conditionalFormatting sqref="J9:J123">
    <cfRule type="expression" dxfId="351" priority="8">
      <formula>IF(J9="不保養","true","FALSE")</formula>
    </cfRule>
  </conditionalFormatting>
  <conditionalFormatting sqref="G8:G124">
    <cfRule type="expression" dxfId="350" priority="6">
      <formula>G8="未更換"</formula>
    </cfRule>
    <cfRule type="expression" dxfId="349" priority="7">
      <formula>G8="已更換"</formula>
    </cfRule>
  </conditionalFormatting>
  <conditionalFormatting sqref="B124">
    <cfRule type="expression" dxfId="348" priority="5">
      <formula>COUNTIF(#REF!, "Yes") = 1</formula>
    </cfRule>
  </conditionalFormatting>
  <conditionalFormatting sqref="J124">
    <cfRule type="expression" dxfId="347" priority="4">
      <formula>IF(J124="不保養","true","FALSE")</formula>
    </cfRule>
  </conditionalFormatting>
  <conditionalFormatting sqref="J8">
    <cfRule type="expression" dxfId="34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8" width="11.8984375" style="216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hidden="1" customWidth="1"/>
    <col min="18" max="18" width="10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4052</v>
      </c>
      <c r="B1" s="209" t="s">
        <v>49</v>
      </c>
      <c r="C1" s="210">
        <f>COUNTA(I8:I200)</f>
        <v>58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42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19</v>
      </c>
      <c r="D2" s="220">
        <v>19</v>
      </c>
      <c r="E2" s="239">
        <v>19</v>
      </c>
      <c r="F2" s="240">
        <f t="shared" ref="F2" si="0">SUM(C2:E2)</f>
        <v>57</v>
      </c>
      <c r="G2" s="240"/>
      <c r="H2" s="285" t="s">
        <v>4459</v>
      </c>
      <c r="I2" s="219">
        <f>COUNTIF(G:G,"已更換")</f>
        <v>1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18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COUNTIF(C$8:C$185,"v")</f>
        <v>1</v>
      </c>
      <c r="D4" s="226">
        <f>COUNTIF(D$8:D$185,"v")</f>
        <v>0</v>
      </c>
      <c r="E4" s="226">
        <f>COUNTIF(E$8:E$185,"v")</f>
        <v>0</v>
      </c>
      <c r="F4" s="221">
        <f t="shared" ref="F4" si="1">SUM(C4:E4)</f>
        <v>1</v>
      </c>
      <c r="G4" s="240"/>
      <c r="H4" s="285" t="s">
        <v>4461</v>
      </c>
      <c r="I4" s="288">
        <f>I2/I1</f>
        <v>2.3809523809523808E-2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18</v>
      </c>
      <c r="D5" s="228">
        <f>MAX(C2+D2-C4-D4,0)</f>
        <v>37</v>
      </c>
      <c r="E5" s="228">
        <f>MAX(C2+D2+E2-C4-D4-E4,0)</f>
        <v>56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231" t="s">
        <v>53</v>
      </c>
      <c r="C6" s="232">
        <f>C4/C2</f>
        <v>5.2631578947368418E-2</v>
      </c>
      <c r="D6" s="233">
        <f>D4/(D2+D3)</f>
        <v>0</v>
      </c>
      <c r="E6" s="233">
        <f>E4/(E2+E3)</f>
        <v>0</v>
      </c>
      <c r="F6" s="234">
        <f>COUNTIFS(F8:F185,"未保養",J8:J185,"&lt;&gt;不保養")</f>
        <v>57</v>
      </c>
      <c r="G6" s="234"/>
      <c r="H6" s="234"/>
      <c r="I6" s="333" t="s">
        <v>5071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5067</v>
      </c>
      <c r="D7" s="235" t="s">
        <v>5068</v>
      </c>
      <c r="E7" s="235" t="s">
        <v>5069</v>
      </c>
      <c r="F7" s="235" t="s">
        <v>54</v>
      </c>
      <c r="G7" s="235" t="s">
        <v>4456</v>
      </c>
      <c r="H7" s="235" t="s">
        <v>4449</v>
      </c>
      <c r="I7" s="235" t="s">
        <v>4097</v>
      </c>
      <c r="J7" s="235" t="s">
        <v>4131</v>
      </c>
      <c r="K7" s="215"/>
      <c r="L7" s="215"/>
      <c r="M7" s="215"/>
      <c r="N7" s="215"/>
      <c r="O7" s="215"/>
      <c r="P7" s="215"/>
      <c r="Q7" s="215"/>
    </row>
    <row r="8" spans="1:19" ht="21.6" customHeight="1">
      <c r="A8" s="237" t="s">
        <v>1752</v>
      </c>
      <c r="B8" s="237" t="str">
        <f>VLOOKUP(A8,門市主檔!A:B,2,FALSE)</f>
        <v>五股訓練教室</v>
      </c>
      <c r="C8" s="359" t="str">
        <f>IF(COUNTIFS(IM!$F:$F,A8,IM!$AD:$AD,"O",IM!$X:$X,"&gt;="&amp;吳宗鴻!$R$1, IM!$X:$X,"&lt;="&amp;吳宗鴻!$S$1)&gt;0,"V","")</f>
        <v/>
      </c>
      <c r="D8" s="359" t="str">
        <f>IF(AND(C8&lt;&gt;"V", COUNTIFS(IM!$F:$F,A8, IM!$AD:$AD, "O", IM!$X:$X, "&gt;="&amp;吳宗鴻!$R$2, IM!$X:$X, "&lt;="&amp;吳宗鴻!$S$2)&gt;0), "V", "")</f>
        <v/>
      </c>
      <c r="E8" s="359" t="str">
        <f>IF(AND(C8&lt;&gt;"V",D8&lt;&gt;"V", COUNTIFS(IM!$F:$F, A8, IM!$AD:$AD, "O", IM!$X:$X, "&gt;="&amp;吳宗鴻!$R$3, IM!$X:$X, "&lt;="&amp;吳宗鴻!$S$3)&gt;0), "V", "")</f>
        <v/>
      </c>
      <c r="F8" s="237" t="str">
        <f t="shared" ref="F8:F39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五股區</v>
      </c>
      <c r="J8" s="249">
        <v>45743.645833333336</v>
      </c>
      <c r="K8" s="238"/>
      <c r="L8" s="238"/>
      <c r="M8" s="238"/>
      <c r="N8" s="238"/>
      <c r="O8" s="238"/>
      <c r="P8" s="215" t="s">
        <v>55</v>
      </c>
      <c r="Q8" s="215"/>
    </row>
    <row r="9" spans="1:19" ht="21.6" customHeight="1">
      <c r="A9" s="237">
        <v>2535</v>
      </c>
      <c r="B9" s="237" t="str">
        <f>VLOOKUP(A9,門市主檔!A:B,2,FALSE)</f>
        <v>五股五工店</v>
      </c>
      <c r="C9" s="359" t="str">
        <f>IF(COUNTIFS(IM!$F:$F,A9,IM!$AD:$AD,"O",IM!$X:$X,"&gt;="&amp;吳宗鴻!$R$1, IM!$X:$X,"&lt;="&amp;吳宗鴻!$S$1)&gt;0,"V","")</f>
        <v/>
      </c>
      <c r="D9" s="359" t="str">
        <f>IF(AND(C9&lt;&gt;"V", COUNTIFS(IM!$F:$F,A9, IM!$AD:$AD, "O", IM!$X:$X, "&gt;="&amp;吳宗鴻!$R$2, IM!$X:$X, "&lt;="&amp;吳宗鴻!$S$2)&gt;0), "V", "")</f>
        <v/>
      </c>
      <c r="E9" s="359" t="str">
        <f>IF(AND(C9&lt;&gt;"V",D9&lt;&gt;"V", COUNTIFS(IM!$F:$F, A9, IM!$AD:$AD, "O", IM!$X:$X, "&gt;="&amp;吳宗鴻!$R$3, IM!$X:$X, "&lt;="&amp;吳宗鴻!$S$3)&gt;0),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1</v>
      </c>
      <c r="I9" s="237" t="str">
        <f>VLOOKUP(A9,'0919門市清單主檔'!B:V,21,FALSE)</f>
        <v>五股區</v>
      </c>
      <c r="J9" s="249">
        <v>45743.597222222219</v>
      </c>
      <c r="K9" s="238"/>
      <c r="L9" s="238"/>
      <c r="M9" s="238"/>
      <c r="N9" s="238"/>
      <c r="O9" s="238"/>
      <c r="P9" s="215" t="s">
        <v>55</v>
      </c>
      <c r="Q9" s="215"/>
    </row>
    <row r="10" spans="1:19" ht="21.6" customHeight="1">
      <c r="A10" s="237">
        <v>2325</v>
      </c>
      <c r="B10" s="237" t="str">
        <f>VLOOKUP(A10,門市主檔!A:B,2,FALSE)</f>
        <v>北縣五泰店</v>
      </c>
      <c r="C10" s="359" t="str">
        <f>IF(COUNTIFS(IM!$F:$F,A10,IM!$AD:$AD,"O",IM!$X:$X,"&gt;="&amp;吳宗鴻!$R$1, IM!$X:$X,"&lt;="&amp;吳宗鴻!$S$1)&gt;0,"V","")</f>
        <v/>
      </c>
      <c r="D10" s="359" t="str">
        <f>IF(AND(C10&lt;&gt;"V", COUNTIFS(IM!$F:$F,A10, IM!$AD:$AD, "O", IM!$X:$X, "&gt;="&amp;吳宗鴻!$R$2, IM!$X:$X, "&lt;="&amp;吳宗鴻!$S$2)&gt;0), "V", "")</f>
        <v/>
      </c>
      <c r="E10" s="359" t="str">
        <f>IF(AND(C10&lt;&gt;"V",D10&lt;&gt;"V", COUNTIFS(IM!$F:$F, A10, IM!$AD:$AD, "O", IM!$X:$X, "&gt;="&amp;吳宗鴻!$R$3, IM!$X:$X, "&lt;="&amp;吳宗鴻!$S$3)&gt;0),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未更換</v>
      </c>
      <c r="H10" s="343">
        <f>VLOOKUP(A10,門市主檔!A:U,21,FALSE)</f>
        <v>2</v>
      </c>
      <c r="I10" s="237" t="str">
        <f>VLOOKUP(A10,'0919門市清單主檔'!B:V,21,FALSE)</f>
        <v>五股區</v>
      </c>
      <c r="J10" s="249">
        <v>45670.576388888891</v>
      </c>
      <c r="K10" s="238"/>
      <c r="L10" s="238"/>
      <c r="M10" s="238"/>
      <c r="N10" s="238"/>
      <c r="O10" s="238"/>
      <c r="P10" s="215" t="s">
        <v>55</v>
      </c>
      <c r="Q10" s="215"/>
    </row>
    <row r="11" spans="1:19" ht="21.6" customHeight="1">
      <c r="A11" s="237">
        <v>3770</v>
      </c>
      <c r="B11" s="237" t="str">
        <f>VLOOKUP(A11,門市主檔!A:B,2,FALSE)</f>
        <v>北縣西雲店</v>
      </c>
      <c r="C11" s="359" t="str">
        <f>IF(COUNTIFS(IM!$F:$F,A11,IM!$AD:$AD,"O",IM!$X:$X,"&gt;="&amp;吳宗鴻!$R$1, IM!$X:$X,"&lt;="&amp;吳宗鴻!$S$1)&gt;0,"V","")</f>
        <v/>
      </c>
      <c r="D11" s="359" t="str">
        <f>IF(AND(C11&lt;&gt;"V", COUNTIFS(IM!$F:$F,A11, IM!$AD:$AD, "O", IM!$X:$X, "&gt;="&amp;吳宗鴻!$R$2, IM!$X:$X, "&lt;="&amp;吳宗鴻!$S$2)&gt;0), "V", "")</f>
        <v/>
      </c>
      <c r="E11" s="359" t="str">
        <f>IF(AND(C11&lt;&gt;"V",D11&lt;&gt;"V", COUNTIFS(IM!$F:$F, A11, IM!$AD:$AD, "O", IM!$X:$X, "&gt;="&amp;吳宗鴻!$R$3, IM!$X:$X, "&lt;="&amp;吳宗鴻!$S$3)&gt;0),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1</v>
      </c>
      <c r="I11" s="237" t="str">
        <f>VLOOKUP(A11,'0919門市清單主檔'!B:V,21,FALSE)</f>
        <v>五股區</v>
      </c>
      <c r="J11" s="249">
        <v>45670.5625</v>
      </c>
      <c r="K11" s="238"/>
      <c r="L11" s="238"/>
      <c r="M11" s="238"/>
      <c r="N11" s="238"/>
      <c r="O11" s="238"/>
      <c r="P11" s="215" t="s">
        <v>55</v>
      </c>
      <c r="Q11" s="215"/>
    </row>
    <row r="12" spans="1:19" ht="21.6" customHeight="1">
      <c r="A12" s="237">
        <v>4801</v>
      </c>
      <c r="B12" s="237" t="str">
        <f>VLOOKUP(A12,門市主檔!A:B,2,FALSE)</f>
        <v>五股成州店</v>
      </c>
      <c r="C12" s="359" t="str">
        <f>IF(COUNTIFS(IM!$F:$F,A12,IM!$AD:$AD,"O",IM!$X:$X,"&gt;="&amp;吳宗鴻!$R$1, IM!$X:$X,"&lt;="&amp;吳宗鴻!$S$1)&gt;0,"V","")</f>
        <v/>
      </c>
      <c r="D12" s="359" t="str">
        <f>IF(AND(C12&lt;&gt;"V", COUNTIFS(IM!$F:$F,A12, IM!$AD:$AD, "O", IM!$X:$X, "&gt;="&amp;吳宗鴻!$R$2, IM!$X:$X, "&lt;="&amp;吳宗鴻!$S$2)&gt;0), "V", "")</f>
        <v/>
      </c>
      <c r="E12" s="359" t="str">
        <f>IF(AND(C12&lt;&gt;"V",D12&lt;&gt;"V", COUNTIFS(IM!$F:$F, A12, IM!$AD:$AD, "O", IM!$X:$X, "&gt;="&amp;吳宗鴻!$R$3, IM!$X:$X, "&lt;="&amp;吳宗鴻!$S$3)&gt;0),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未更換</v>
      </c>
      <c r="H12" s="343">
        <f>VLOOKUP(A12,門市主檔!A:U,21,FALSE)</f>
        <v>2</v>
      </c>
      <c r="I12" s="237" t="str">
        <f>VLOOKUP(A12,'0919門市清單主檔'!B:V,21,FALSE)</f>
        <v>五股區</v>
      </c>
      <c r="J12" s="249">
        <v>45670.493055555555</v>
      </c>
      <c r="K12" s="238"/>
      <c r="L12" s="238"/>
      <c r="M12" s="238"/>
      <c r="N12" s="238"/>
      <c r="O12" s="238"/>
      <c r="P12" s="215" t="s">
        <v>55</v>
      </c>
      <c r="Q12" s="215"/>
    </row>
    <row r="13" spans="1:19" ht="21.6" customHeight="1">
      <c r="A13" s="237">
        <v>2390</v>
      </c>
      <c r="B13" s="237" t="str">
        <f>VLOOKUP(A13,門市主檔!A:B,2,FALSE)</f>
        <v>五股產業園區</v>
      </c>
      <c r="C13" s="359" t="str">
        <f>IF(COUNTIFS(IM!$F:$F,A13,IM!$AD:$AD,"O",IM!$X:$X,"&gt;="&amp;吳宗鴻!$R$1, IM!$X:$X,"&lt;="&amp;吳宗鴻!$S$1)&gt;0,"V","")</f>
        <v/>
      </c>
      <c r="D13" s="359" t="str">
        <f>IF(AND(C13&lt;&gt;"V", COUNTIFS(IM!$F:$F,A13, IM!$AD:$AD, "O", IM!$X:$X, "&gt;="&amp;吳宗鴻!$R$2, IM!$X:$X, "&lt;="&amp;吳宗鴻!$S$2)&gt;0), "V", "")</f>
        <v/>
      </c>
      <c r="E13" s="359" t="str">
        <f>IF(AND(C13&lt;&gt;"V",D13&lt;&gt;"V", COUNTIFS(IM!$F:$F, A13, IM!$AD:$AD, "O", IM!$X:$X, "&gt;="&amp;吳宗鴻!$R$3, IM!$X:$X, "&lt;="&amp;吳宗鴻!$S$3)&gt;0),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1</v>
      </c>
      <c r="I13" s="237" t="str">
        <f>VLOOKUP(A13,'0919門市清單主檔'!B:V,21,FALSE)</f>
        <v>五股區</v>
      </c>
      <c r="J13" s="249">
        <v>45670.444444444445</v>
      </c>
      <c r="K13" s="238"/>
      <c r="L13" s="238"/>
      <c r="M13" s="238"/>
      <c r="N13" s="238"/>
      <c r="O13" s="238"/>
      <c r="P13" s="215" t="s">
        <v>55</v>
      </c>
      <c r="Q13" s="215"/>
    </row>
    <row r="14" spans="1:19" ht="21.6" customHeight="1">
      <c r="A14" s="237">
        <v>2691</v>
      </c>
      <c r="B14" s="237" t="str">
        <f>VLOOKUP(A14,門市主檔!A:B,2,FALSE)</f>
        <v>五股興珍店</v>
      </c>
      <c r="C14" s="359" t="str">
        <f>IF(COUNTIFS(IM!$F:$F,A14,IM!$AD:$AD,"O",IM!$X:$X,"&gt;="&amp;吳宗鴻!$R$1, IM!$X:$X,"&lt;="&amp;吳宗鴻!$S$1)&gt;0,"V","")</f>
        <v/>
      </c>
      <c r="D14" s="359" t="str">
        <f>IF(AND(C14&lt;&gt;"V", COUNTIFS(IM!$F:$F,A14, IM!$AD:$AD, "O", IM!$X:$X, "&gt;="&amp;吳宗鴻!$R$2, IM!$X:$X, "&lt;="&amp;吳宗鴻!$S$2)&gt;0), "V", "")</f>
        <v/>
      </c>
      <c r="E14" s="359" t="str">
        <f>IF(AND(C14&lt;&gt;"V",D14&lt;&gt;"V", COUNTIFS(IM!$F:$F, A14, IM!$AD:$AD, "O", IM!$X:$X, "&gt;="&amp;吳宗鴻!$R$3, IM!$X:$X, "&lt;="&amp;吳宗鴻!$S$3)&gt;0),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五股區</v>
      </c>
      <c r="J14" s="249">
        <v>45670.430555555555</v>
      </c>
      <c r="K14" s="238"/>
      <c r="L14" s="238"/>
      <c r="M14" s="238"/>
      <c r="N14" s="238"/>
      <c r="O14" s="238"/>
      <c r="P14" s="215" t="s">
        <v>55</v>
      </c>
      <c r="Q14" s="215"/>
    </row>
    <row r="15" spans="1:19" ht="21.6" customHeight="1">
      <c r="A15" s="237">
        <v>4819</v>
      </c>
      <c r="B15" s="237" t="str">
        <f>VLOOKUP(A15,門市主檔!A:B,2,FALSE)</f>
        <v>五股凌雲店</v>
      </c>
      <c r="C15" s="359" t="str">
        <f>IF(COUNTIFS(IM!$F:$F,A15,IM!$AD:$AD,"O",IM!$X:$X,"&gt;="&amp;吳宗鴻!$R$1, IM!$X:$X,"&lt;="&amp;吳宗鴻!$S$1)&gt;0,"V","")</f>
        <v/>
      </c>
      <c r="D15" s="359" t="str">
        <f>IF(AND(C15&lt;&gt;"V", COUNTIFS(IM!$F:$F,A15, IM!$AD:$AD, "O", IM!$X:$X, "&gt;="&amp;吳宗鴻!$R$2, IM!$X:$X, "&lt;="&amp;吳宗鴻!$S$2)&gt;0), "V", "")</f>
        <v/>
      </c>
      <c r="E15" s="359" t="str">
        <f>IF(AND(C15&lt;&gt;"V",D15&lt;&gt;"V", COUNTIFS(IM!$F:$F, A15, IM!$AD:$AD, "O", IM!$X:$X, "&gt;="&amp;吳宗鴻!$R$3, IM!$X:$X, "&lt;="&amp;吳宗鴻!$S$3)&gt;0),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未更換</v>
      </c>
      <c r="H15" s="343">
        <f>VLOOKUP(A15,門市主檔!A:U,21,FALSE)</f>
        <v>2</v>
      </c>
      <c r="I15" s="237" t="str">
        <f>VLOOKUP(A15,'0919門市清單主檔'!B:V,21,FALSE)</f>
        <v>五股區</v>
      </c>
      <c r="J15" s="249">
        <v>45670.482638888891</v>
      </c>
      <c r="K15" s="238"/>
      <c r="L15" s="238"/>
      <c r="M15" s="238"/>
      <c r="N15" s="238"/>
      <c r="O15" s="238"/>
      <c r="P15" s="215" t="s">
        <v>55</v>
      </c>
      <c r="Q15" s="215"/>
    </row>
    <row r="16" spans="1:19" ht="21.6" customHeight="1">
      <c r="A16" s="237">
        <v>3227</v>
      </c>
      <c r="B16" s="237" t="str">
        <f>VLOOKUP(A16,門市主檔!A:B,2,FALSE)</f>
        <v>五股四維店</v>
      </c>
      <c r="C16" s="359" t="str">
        <f>IF(COUNTIFS(IM!$F:$F,A16,IM!$AD:$AD,"O",IM!$X:$X,"&gt;="&amp;吳宗鴻!$R$1, IM!$X:$X,"&lt;="&amp;吳宗鴻!$S$1)&gt;0,"V","")</f>
        <v/>
      </c>
      <c r="D16" s="359" t="str">
        <f>IF(AND(C16&lt;&gt;"V", COUNTIFS(IM!$F:$F,A16, IM!$AD:$AD, "O", IM!$X:$X, "&gt;="&amp;吳宗鴻!$R$2, IM!$X:$X, "&lt;="&amp;吳宗鴻!$S$2)&gt;0), "V", "")</f>
        <v/>
      </c>
      <c r="E16" s="359" t="str">
        <f>IF(AND(C16&lt;&gt;"V",D16&lt;&gt;"V", COUNTIFS(IM!$F:$F, A16, IM!$AD:$AD, "O", IM!$X:$X, "&gt;="&amp;吳宗鴻!$R$3, IM!$X:$X, "&lt;="&amp;吳宗鴻!$S$3)&gt;0),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未更換</v>
      </c>
      <c r="H16" s="343">
        <f>VLOOKUP(A16,門市主檔!A:U,21,FALSE)</f>
        <v>1</v>
      </c>
      <c r="I16" s="237" t="str">
        <f>VLOOKUP(A16,'0919門市清單主檔'!B:V,21,FALSE)</f>
        <v>五股區</v>
      </c>
      <c r="J16" s="249">
        <v>45673.472222222219</v>
      </c>
      <c r="K16" s="238"/>
      <c r="L16" s="238"/>
      <c r="M16" s="238"/>
      <c r="N16" s="238"/>
      <c r="O16" s="238"/>
      <c r="P16" s="215" t="s">
        <v>55</v>
      </c>
      <c r="Q16" s="215"/>
    </row>
    <row r="17" spans="1:20" ht="21.6" customHeight="1">
      <c r="A17" s="237">
        <v>5003</v>
      </c>
      <c r="B17" s="237" t="str">
        <f>VLOOKUP(A17,門市主檔!A:B,2,FALSE)</f>
        <v>五股更寮店</v>
      </c>
      <c r="C17" s="359" t="str">
        <f>IF(COUNTIFS(IM!$F:$F,A17,IM!$AD:$AD,"O",IM!$X:$X,"&gt;="&amp;吳宗鴻!$R$1, IM!$X:$X,"&lt;="&amp;吳宗鴻!$S$1)&gt;0,"V","")</f>
        <v/>
      </c>
      <c r="D17" s="359" t="str">
        <f>IF(AND(C17&lt;&gt;"V", COUNTIFS(IM!$F:$F,A17, IM!$AD:$AD, "O", IM!$X:$X, "&gt;="&amp;吳宗鴻!$R$2, IM!$X:$X, "&lt;="&amp;吳宗鴻!$S$2)&gt;0), "V", "")</f>
        <v/>
      </c>
      <c r="E17" s="359" t="str">
        <f>IF(AND(C17&lt;&gt;"V",D17&lt;&gt;"V", COUNTIFS(IM!$F:$F, A17, IM!$AD:$AD, "O", IM!$X:$X, "&gt;="&amp;吳宗鴻!$R$3, IM!$X:$X, "&lt;="&amp;吳宗鴻!$S$3)&gt;0), "V", "")</f>
        <v/>
      </c>
      <c r="F17" s="237" t="str">
        <f t="shared" si="2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無專案</v>
      </c>
      <c r="H17" s="343">
        <f>VLOOKUP(A17,門市主檔!A:U,21,FALSE)</f>
        <v>0</v>
      </c>
      <c r="I17" s="237" t="str">
        <f>VLOOKUP(A17,'0919門市清單主檔'!B:V,21,FALSE)</f>
        <v>五股區</v>
      </c>
      <c r="J17" s="249">
        <v>45673.486111111109</v>
      </c>
      <c r="K17" s="238"/>
      <c r="L17" s="238"/>
      <c r="M17" s="238"/>
      <c r="N17" s="238"/>
      <c r="O17" s="238"/>
      <c r="P17" s="215" t="s">
        <v>55</v>
      </c>
      <c r="Q17" s="215"/>
    </row>
    <row r="18" spans="1:20" ht="21.6" customHeight="1">
      <c r="A18" s="237">
        <v>3921</v>
      </c>
      <c r="B18" s="237" t="str">
        <f>VLOOKUP(A18,門市主檔!A:B,2,FALSE)</f>
        <v>五股福鑫店</v>
      </c>
      <c r="C18" s="359" t="str">
        <f>IF(COUNTIFS(IM!$F:$F,A18,IM!$AD:$AD,"O",IM!$X:$X,"&gt;="&amp;吳宗鴻!$R$1, IM!$X:$X,"&lt;="&amp;吳宗鴻!$S$1)&gt;0,"V","")</f>
        <v/>
      </c>
      <c r="D18" s="359" t="str">
        <f>IF(AND(C18&lt;&gt;"V", COUNTIFS(IM!$F:$F,A18, IM!$AD:$AD, "O", IM!$X:$X, "&gt;="&amp;吳宗鴻!$R$2, IM!$X:$X, "&lt;="&amp;吳宗鴻!$S$2)&gt;0), "V", "")</f>
        <v/>
      </c>
      <c r="E18" s="359" t="str">
        <f>IF(AND(C18&lt;&gt;"V",D18&lt;&gt;"V", COUNTIFS(IM!$F:$F, A18, IM!$AD:$AD, "O", IM!$X:$X, "&gt;="&amp;吳宗鴻!$R$3, IM!$X:$X, "&lt;="&amp;吳宗鴻!$S$3)&gt;0), "V", "")</f>
        <v/>
      </c>
      <c r="F18" s="237" t="str">
        <f t="shared" si="2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未更換</v>
      </c>
      <c r="H18" s="343">
        <f>VLOOKUP(A18,門市主檔!A:U,21,FALSE)</f>
        <v>2</v>
      </c>
      <c r="I18" s="237" t="str">
        <f>VLOOKUP(A18,'0919門市清單主檔'!B:V,21,FALSE)</f>
        <v>五股區</v>
      </c>
      <c r="J18" s="249">
        <v>45692.645833333336</v>
      </c>
      <c r="K18" s="238"/>
      <c r="L18" s="238"/>
      <c r="M18" s="238"/>
      <c r="N18" s="238"/>
      <c r="O18" s="238"/>
      <c r="P18" s="215" t="s">
        <v>55</v>
      </c>
      <c r="Q18" s="215"/>
      <c r="R18" s="242"/>
      <c r="S18" s="242"/>
      <c r="T18" s="242"/>
    </row>
    <row r="19" spans="1:20" ht="21.6" customHeight="1">
      <c r="A19" s="237">
        <v>4316</v>
      </c>
      <c r="B19" s="237" t="str">
        <f>VLOOKUP(A19,門市主檔!A:B,2,FALSE)</f>
        <v>五股工商店</v>
      </c>
      <c r="C19" s="359" t="str">
        <f>IF(COUNTIFS(IM!$F:$F,A19,IM!$AD:$AD,"O",IM!$X:$X,"&gt;="&amp;吳宗鴻!$R$1, IM!$X:$X,"&lt;="&amp;吳宗鴻!$S$1)&gt;0,"V","")</f>
        <v/>
      </c>
      <c r="D19" s="359" t="str">
        <f>IF(AND(C19&lt;&gt;"V", COUNTIFS(IM!$F:$F,A19, IM!$AD:$AD, "O", IM!$X:$X, "&gt;="&amp;吳宗鴻!$R$2, IM!$X:$X, "&lt;="&amp;吳宗鴻!$S$2)&gt;0), "V", "")</f>
        <v/>
      </c>
      <c r="E19" s="359" t="str">
        <f>IF(AND(C19&lt;&gt;"V",D19&lt;&gt;"V", COUNTIFS(IM!$F:$F, A19, IM!$AD:$AD, "O", IM!$X:$X, "&gt;="&amp;吳宗鴻!$R$3, IM!$X:$X, "&lt;="&amp;吳宗鴻!$S$3)&gt;0), "V", "")</f>
        <v/>
      </c>
      <c r="F19" s="237" t="str">
        <f t="shared" si="2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0</v>
      </c>
      <c r="I19" s="237" t="str">
        <f>VLOOKUP(A19,'0919門市清單主檔'!B:V,21,FALSE)</f>
        <v>五股區</v>
      </c>
      <c r="J19" s="249">
        <v>45692.666666666664</v>
      </c>
      <c r="K19" s="238"/>
      <c r="L19" s="238"/>
      <c r="M19" s="238"/>
      <c r="N19" s="238"/>
      <c r="O19" s="238"/>
      <c r="P19" s="215" t="s">
        <v>55</v>
      </c>
      <c r="Q19" s="215"/>
    </row>
    <row r="20" spans="1:20" ht="21.6" customHeight="1">
      <c r="A20" s="237">
        <v>3243</v>
      </c>
      <c r="B20" s="237" t="str">
        <f>VLOOKUP(A20,門市主檔!A:B,2,FALSE)</f>
        <v>北縣醒吾店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林口區</v>
      </c>
      <c r="J20" s="249">
        <v>45728.5625</v>
      </c>
      <c r="K20" s="215"/>
      <c r="L20" s="215"/>
      <c r="M20" s="215"/>
      <c r="N20" s="215"/>
      <c r="O20" s="215"/>
      <c r="P20" s="215" t="s">
        <v>55</v>
      </c>
      <c r="Q20" s="215"/>
    </row>
    <row r="21" spans="1:20" ht="21.6" customHeight="1">
      <c r="A21" s="237">
        <v>4483</v>
      </c>
      <c r="B21" s="237" t="str">
        <f>VLOOKUP(A21,門市主檔!A:B,2,FALSE)</f>
        <v>林口築夢店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林口區</v>
      </c>
      <c r="J21" s="249">
        <v>45728.5</v>
      </c>
      <c r="K21" s="215"/>
      <c r="L21" s="215"/>
      <c r="M21" s="215"/>
      <c r="N21" s="215"/>
      <c r="O21" s="215"/>
      <c r="P21" s="215" t="s">
        <v>55</v>
      </c>
      <c r="Q21" s="215"/>
    </row>
    <row r="22" spans="1:20" ht="21.6" customHeight="1">
      <c r="A22" s="237">
        <v>4154</v>
      </c>
      <c r="B22" s="237" t="str">
        <f>VLOOKUP(A22,門市主檔!A:B,2,FALSE)</f>
        <v>林口麗園店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林口區</v>
      </c>
      <c r="J22" s="249">
        <v>45728.458333333336</v>
      </c>
      <c r="K22" s="215"/>
      <c r="L22" s="215"/>
      <c r="M22" s="215"/>
      <c r="N22" s="215"/>
      <c r="O22" s="215"/>
      <c r="P22" s="215" t="s">
        <v>55</v>
      </c>
      <c r="Q22" s="215"/>
    </row>
    <row r="23" spans="1:20" ht="21.6" customHeight="1">
      <c r="A23" s="237" t="s">
        <v>1751</v>
      </c>
      <c r="B23" s="237" t="str">
        <f>VLOOKUP(A23,門市主檔!A:B,2,FALSE)</f>
        <v>林口顧家店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無專案</v>
      </c>
      <c r="H23" s="343">
        <f>VLOOKUP(A23,門市主檔!A:U,21,FALSE)</f>
        <v>0</v>
      </c>
      <c r="I23" s="237" t="str">
        <f>VLOOKUP(A23,'0919門市清單主檔'!B:V,21,FALSE)</f>
        <v>林口區</v>
      </c>
      <c r="J23" s="249">
        <v>45728.472222222219</v>
      </c>
      <c r="K23" s="215"/>
      <c r="L23" s="215"/>
      <c r="M23" s="215"/>
      <c r="N23" s="215"/>
      <c r="O23" s="215"/>
      <c r="P23" s="215" t="s">
        <v>55</v>
      </c>
      <c r="Q23" s="215"/>
    </row>
    <row r="24" spans="1:20" ht="21.6" customHeight="1">
      <c r="A24" s="237" t="s">
        <v>41</v>
      </c>
      <c r="B24" s="237" t="str">
        <f>VLOOKUP(A24,門市主檔!A:B,2,FALSE)</f>
        <v>車麗屋林口店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無專案</v>
      </c>
      <c r="H24" s="343">
        <f>VLOOKUP(A24,門市主檔!A:U,21,FALSE)</f>
        <v>0</v>
      </c>
      <c r="I24" s="237" t="str">
        <f>VLOOKUP(A24,'0919門市清單主檔'!B:V,21,FALSE)</f>
        <v>林口區</v>
      </c>
      <c r="J24" s="249">
        <v>45728.458333333336</v>
      </c>
      <c r="K24" s="215"/>
      <c r="L24" s="215"/>
      <c r="M24" s="215"/>
      <c r="N24" s="215"/>
      <c r="O24" s="215"/>
      <c r="P24" s="215" t="s">
        <v>55</v>
      </c>
      <c r="Q24" s="215"/>
    </row>
    <row r="25" spans="1:20" ht="21.6" customHeight="1">
      <c r="A25" s="237">
        <v>4326</v>
      </c>
      <c r="B25" s="237" t="str">
        <f>VLOOKUP(A25,門市主檔!A:B,2,FALSE)</f>
        <v>林口建安店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林口區</v>
      </c>
      <c r="J25" s="249">
        <v>45705.548611111109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20" ht="21.6" customHeight="1">
      <c r="A26" s="237">
        <v>4282</v>
      </c>
      <c r="B26" s="237" t="str">
        <f>VLOOKUP(A26,門市主檔!A:B,2,FALSE)</f>
        <v>林口建林店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無專案</v>
      </c>
      <c r="H26" s="343">
        <f>VLOOKUP(A26,門市主檔!A:U,21,FALSE)</f>
        <v>0</v>
      </c>
      <c r="I26" s="237" t="str">
        <f>VLOOKUP(A26,'0919門市清單主檔'!B:V,21,FALSE)</f>
        <v>林口區</v>
      </c>
      <c r="J26" s="249">
        <v>45705.458333333336</v>
      </c>
      <c r="K26" s="215"/>
      <c r="L26" s="215"/>
      <c r="M26" s="215"/>
      <c r="N26" s="215"/>
      <c r="O26" s="215"/>
      <c r="P26" s="215" t="s">
        <v>55</v>
      </c>
      <c r="Q26" s="215"/>
    </row>
    <row r="27" spans="1:20" ht="21.6" customHeight="1">
      <c r="A27" s="237">
        <v>4715</v>
      </c>
      <c r="B27" s="237" t="str">
        <f>VLOOKUP(A27,門市主檔!A:B,2,FALSE)</f>
        <v>林口捷韻店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林口區</v>
      </c>
      <c r="J27" s="249">
        <v>45705.4375</v>
      </c>
      <c r="K27" s="215"/>
      <c r="L27" s="215"/>
      <c r="M27" s="215"/>
      <c r="N27" s="215"/>
      <c r="O27" s="215"/>
      <c r="P27" s="215" t="s">
        <v>55</v>
      </c>
      <c r="Q27" s="215"/>
    </row>
    <row r="28" spans="1:20" ht="21.6" customHeight="1">
      <c r="A28" s="237">
        <v>4834</v>
      </c>
      <c r="B28" s="237" t="str">
        <f>VLOOKUP(A28,門市主檔!A:B,2,FALSE)</f>
        <v>林口大千苑店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1</v>
      </c>
      <c r="I28" s="237" t="str">
        <f>VLOOKUP(A28,'0919門市清單主檔'!B:V,21,FALSE)</f>
        <v>林口區</v>
      </c>
      <c r="J28" s="249">
        <v>45705.472222222219</v>
      </c>
      <c r="K28" s="215"/>
      <c r="L28" s="215"/>
      <c r="M28" s="215"/>
      <c r="N28" s="215"/>
      <c r="O28" s="215"/>
      <c r="P28" s="215" t="s">
        <v>55</v>
      </c>
      <c r="Q28" s="215"/>
    </row>
    <row r="29" spans="1:20" ht="21.6" customHeight="1">
      <c r="A29" s="237">
        <v>4057</v>
      </c>
      <c r="B29" s="237" t="str">
        <f>VLOOKUP(A29,門市主檔!A:B,2,FALSE)</f>
        <v>林口香澄店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林口區</v>
      </c>
      <c r="J29" s="249">
        <v>45679.465277777781</v>
      </c>
      <c r="K29" s="215"/>
      <c r="L29" s="215"/>
      <c r="M29" s="215"/>
      <c r="N29" s="215"/>
      <c r="O29" s="215"/>
      <c r="P29" s="215" t="s">
        <v>55</v>
      </c>
      <c r="Q29" s="215"/>
    </row>
    <row r="30" spans="1:20" ht="21.6" customHeight="1">
      <c r="A30" s="237">
        <v>4514</v>
      </c>
      <c r="B30" s="237" t="str">
        <f>VLOOKUP(A30,門市主檔!A:B,2,FALSE)</f>
        <v>林口老師店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無專案</v>
      </c>
      <c r="H30" s="343">
        <f>VLOOKUP(A30,門市主檔!A:U,21,FALSE)</f>
        <v>0</v>
      </c>
      <c r="I30" s="237" t="str">
        <f>VLOOKUP(A30,'0919門市清單主檔'!B:V,21,FALSE)</f>
        <v>林口區</v>
      </c>
      <c r="J30" s="249">
        <v>45693.548611111109</v>
      </c>
      <c r="K30" s="215"/>
      <c r="L30" s="215"/>
      <c r="M30" s="215"/>
      <c r="N30" s="215"/>
      <c r="O30" s="215"/>
      <c r="P30" s="215" t="s">
        <v>55</v>
      </c>
      <c r="Q30" s="215"/>
    </row>
    <row r="31" spans="1:20" ht="21.6" customHeight="1">
      <c r="A31" s="237">
        <v>3878</v>
      </c>
      <c r="B31" s="237" t="str">
        <f>VLOOKUP(A31,門市主檔!A:B,2,FALSE)</f>
        <v>林口清梅店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1</v>
      </c>
      <c r="I31" s="237" t="str">
        <f>VLOOKUP(A31,'0919門市清單主檔'!B:V,21,FALSE)</f>
        <v>林口區</v>
      </c>
      <c r="J31" s="249">
        <v>45693.496527777781</v>
      </c>
      <c r="K31" s="215"/>
      <c r="L31" s="215"/>
      <c r="M31" s="215"/>
      <c r="N31" s="215"/>
      <c r="O31" s="215"/>
      <c r="P31" s="215" t="s">
        <v>55</v>
      </c>
      <c r="Q31" s="215"/>
    </row>
    <row r="32" spans="1:20" ht="21.6" customHeight="1">
      <c r="A32" s="237">
        <v>4538</v>
      </c>
      <c r="B32" s="237" t="str">
        <f>VLOOKUP(A32,門市主檔!A:B,2,FALSE)</f>
        <v>林口童樂店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無專案</v>
      </c>
      <c r="H32" s="343">
        <f>VLOOKUP(A32,門市主檔!A:U,21,FALSE)</f>
        <v>0</v>
      </c>
      <c r="I32" s="237" t="str">
        <f>VLOOKUP(A32,'0919門市清單主檔'!B:V,21,FALSE)</f>
        <v>林口區</v>
      </c>
      <c r="J32" s="249">
        <v>45693.479166666664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3137</v>
      </c>
      <c r="B33" s="237" t="str">
        <f>VLOOKUP(A33,門市主檔!A:B,2,FALSE)</f>
        <v>北縣黎明店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無專案</v>
      </c>
      <c r="H33" s="343">
        <f>VLOOKUP(A33,門市主檔!A:U,21,FALSE)</f>
        <v>0</v>
      </c>
      <c r="I33" s="237" t="str">
        <f>VLOOKUP(A33,'0919門市清單主檔'!B:V,21,FALSE)</f>
        <v>泰山區</v>
      </c>
      <c r="J33" s="249">
        <v>45728.583333333336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>
        <v>3606</v>
      </c>
      <c r="B34" s="237" t="str">
        <f>VLOOKUP(A34,門市主檔!A:B,2,FALSE)</f>
        <v>北縣泰富店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泰山區</v>
      </c>
      <c r="J34" s="249">
        <v>45678.604166666664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4656</v>
      </c>
      <c r="B35" s="237" t="str">
        <f>VLOOKUP(A35,門市主檔!A:B,2,FALSE)</f>
        <v>泰山新民店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泰山區</v>
      </c>
      <c r="J35" s="249">
        <v>45678.583333333336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4679</v>
      </c>
      <c r="B36" s="237" t="str">
        <f>VLOOKUP(A36,門市主檔!A:B,2,FALSE)</f>
        <v>新莊幸運店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無專案</v>
      </c>
      <c r="H36" s="343">
        <f>VLOOKUP(A36,門市主檔!A:U,21,FALSE)</f>
        <v>0</v>
      </c>
      <c r="I36" s="237" t="str">
        <f>VLOOKUP(A36,'0919門市清單主檔'!B:V,21,FALSE)</f>
        <v>新莊區</v>
      </c>
      <c r="J36" s="249">
        <v>45741.631944444445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4228</v>
      </c>
      <c r="B37" s="237" t="str">
        <f>VLOOKUP(A37,門市主檔!A:B,2,FALSE)</f>
        <v>新莊頭前公園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新莊區</v>
      </c>
      <c r="J37" s="249">
        <v>45741.645833333336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2362</v>
      </c>
      <c r="B38" s="237" t="str">
        <f>VLOOKUP(A38,門市主檔!A:B,2,FALSE)</f>
        <v>新莊化成店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新莊區</v>
      </c>
      <c r="J38" s="249">
        <v>45741.618055555555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>
        <v>5291</v>
      </c>
      <c r="B39" s="237" t="str">
        <f>VLOOKUP(A39,門市主檔!A:B,2,FALSE)</f>
        <v>新莊國家置地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無專案</v>
      </c>
      <c r="H39" s="343">
        <f>VLOOKUP(A39,門市主檔!A:U,21,FALSE)</f>
        <v>0</v>
      </c>
      <c r="I39" s="237" t="str">
        <f>VLOOKUP(A39,'0919門市清單主檔'!B:V,21,FALSE)</f>
        <v>新莊區</v>
      </c>
      <c r="J39" s="250" t="s">
        <v>5065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 t="s">
        <v>46</v>
      </c>
      <c r="B40" s="237" t="str">
        <f>VLOOKUP(A40,門市主檔!A:B,2,FALSE)</f>
        <v>車麗屋新莊店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65" si="3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無專案</v>
      </c>
      <c r="H40" s="343">
        <f>VLOOKUP(A40,門市主檔!A:U,21,FALSE)</f>
        <v>0</v>
      </c>
      <c r="I40" s="237" t="str">
        <f>VLOOKUP(A40,'0919門市清單主檔'!B:V,21,FALSE)</f>
        <v>新莊區</v>
      </c>
      <c r="J40" s="249">
        <v>45737.618055555555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4552</v>
      </c>
      <c r="B41" s="237" t="str">
        <f>VLOOKUP(A41,門市主檔!A:B,2,FALSE)</f>
        <v>新莊福慧店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3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1</v>
      </c>
      <c r="I41" s="237" t="str">
        <f>VLOOKUP(A41,'0919門市清單主檔'!B:V,21,FALSE)</f>
        <v>新莊區</v>
      </c>
      <c r="J41" s="249">
        <v>45737.597222222219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4025</v>
      </c>
      <c r="B42" s="237" t="str">
        <f>VLOOKUP(A42,門市主檔!A:B,2,FALSE)</f>
        <v>新莊祐信店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3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新莊區</v>
      </c>
      <c r="J42" s="249">
        <v>45736.659722222219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21.6" customHeight="1">
      <c r="A43" s="237">
        <v>4341</v>
      </c>
      <c r="B43" s="237" t="str">
        <f>VLOOKUP(A43,門市主檔!A:B,2,FALSE)</f>
        <v>新莊莊美店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3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新莊區</v>
      </c>
      <c r="J43" s="249">
        <v>45736.673611111109</v>
      </c>
      <c r="K43" s="215"/>
      <c r="L43" s="215"/>
      <c r="M43" s="215"/>
      <c r="N43" s="215"/>
      <c r="O43" s="215"/>
      <c r="P43" s="215" t="s">
        <v>55</v>
      </c>
      <c r="Q43" s="215"/>
    </row>
    <row r="44" spans="1:17" ht="21.6" customHeight="1">
      <c r="A44" s="237">
        <v>3358</v>
      </c>
      <c r="B44" s="237" t="str">
        <f>VLOOKUP(A44,門市主檔!A:B,2,FALSE)</f>
        <v>新莊棒球場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3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無專案</v>
      </c>
      <c r="H44" s="343">
        <f>VLOOKUP(A44,門市主檔!A:U,21,FALSE)</f>
        <v>0</v>
      </c>
      <c r="I44" s="237" t="str">
        <f>VLOOKUP(A44,'0919門市清單主檔'!B:V,21,FALSE)</f>
        <v>新莊區</v>
      </c>
      <c r="J44" s="249">
        <v>45736.6875</v>
      </c>
      <c r="K44" s="215"/>
      <c r="L44" s="215"/>
      <c r="M44" s="215"/>
      <c r="N44" s="215"/>
      <c r="O44" s="215"/>
      <c r="P44" s="215" t="s">
        <v>55</v>
      </c>
      <c r="Q44" s="215"/>
    </row>
    <row r="45" spans="1:17" ht="21.6" customHeight="1">
      <c r="A45" s="237">
        <v>3851</v>
      </c>
      <c r="B45" s="237" t="str">
        <f>VLOOKUP(A45,門市主檔!A:B,2,FALSE)</f>
        <v>北縣輔園店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3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新莊區</v>
      </c>
      <c r="J45" s="249">
        <v>45733.583333333336</v>
      </c>
      <c r="K45" s="215"/>
      <c r="L45" s="215"/>
      <c r="M45" s="215"/>
      <c r="N45" s="215"/>
      <c r="O45" s="215"/>
      <c r="P45" s="215"/>
      <c r="Q45" s="215"/>
    </row>
    <row r="46" spans="1:17" ht="21.6" customHeight="1">
      <c r="A46" s="237">
        <v>3652</v>
      </c>
      <c r="B46" s="237" t="str">
        <f>VLOOKUP(A46,門市主檔!A:B,2,FALSE)</f>
        <v>北縣莊民店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3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新莊區</v>
      </c>
      <c r="J46" s="249">
        <v>45730.645833333336</v>
      </c>
      <c r="K46" s="215"/>
      <c r="L46" s="215"/>
      <c r="M46" s="215"/>
      <c r="N46" s="215"/>
      <c r="O46" s="215"/>
      <c r="P46" s="215"/>
      <c r="Q46" s="215"/>
    </row>
    <row r="47" spans="1:17" ht="21.6" customHeight="1">
      <c r="A47" s="237">
        <v>5057</v>
      </c>
      <c r="B47" s="237" t="str">
        <f>VLOOKUP(A47,門市主檔!A:B,2,FALSE)</f>
        <v>新莊中港店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3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新莊區</v>
      </c>
      <c r="J47" s="249">
        <v>45730.666666666664</v>
      </c>
      <c r="K47" s="215"/>
      <c r="L47" s="215"/>
      <c r="M47" s="215"/>
      <c r="N47" s="215"/>
      <c r="O47" s="215"/>
      <c r="P47" s="215"/>
      <c r="Q47" s="215"/>
    </row>
    <row r="48" spans="1:17" ht="21.6" customHeight="1">
      <c r="A48" s="237">
        <v>4194</v>
      </c>
      <c r="B48" s="237" t="str">
        <f>VLOOKUP(A48,門市主檔!A:B,2,FALSE)</f>
        <v>新莊鼎苑店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3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2</v>
      </c>
      <c r="I48" s="237" t="str">
        <f>VLOOKUP(A48,'0919門市清單主檔'!B:V,21,FALSE)</f>
        <v>新莊區</v>
      </c>
      <c r="J48" s="249">
        <v>45700.604166666664</v>
      </c>
      <c r="K48" s="215"/>
      <c r="L48" s="215"/>
      <c r="M48" s="215"/>
      <c r="N48" s="215"/>
      <c r="O48" s="215"/>
      <c r="P48" s="215"/>
      <c r="Q48" s="215"/>
    </row>
    <row r="49" spans="1:17" ht="21.6" customHeight="1">
      <c r="A49" s="237">
        <v>4701</v>
      </c>
      <c r="B49" s="237" t="str">
        <f>VLOOKUP(A49,門市主檔!A:B,2,FALSE)</f>
        <v>新莊昌平店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3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無專案</v>
      </c>
      <c r="H49" s="343">
        <f>VLOOKUP(A49,門市主檔!A:U,21,FALSE)</f>
        <v>0</v>
      </c>
      <c r="I49" s="237" t="str">
        <f>VLOOKUP(A49,'0919門市清單主檔'!B:V,21,FALSE)</f>
        <v>新莊區</v>
      </c>
      <c r="J49" s="249">
        <v>45712.604166666664</v>
      </c>
      <c r="K49" s="215"/>
      <c r="L49" s="215"/>
      <c r="M49" s="215"/>
      <c r="N49" s="215"/>
      <c r="O49" s="215"/>
      <c r="P49" s="215"/>
      <c r="Q49" s="215"/>
    </row>
    <row r="50" spans="1:17" ht="21.6" customHeight="1">
      <c r="A50" s="237">
        <v>4762</v>
      </c>
      <c r="B50" s="237" t="str">
        <f>VLOOKUP(A50,門市主檔!A:B,2,FALSE)</f>
        <v>新莊巷口店</v>
      </c>
      <c r="C50" s="359" t="str">
        <f>IF(COUNTIFS(IM!$F:$F,A50,IM!$AD:$AD,"O",IM!$X:$X,"&gt;="&amp;$R$1, IM!$X:$X,"&lt;="&amp;$S$1)&gt;0,"V","")</f>
        <v>V</v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3"/>
        <v/>
      </c>
      <c r="G50" s="237" t="str">
        <f>IF(AND(VLOOKUP(A50,門市主檔!A:Y,25,FALSE)="STAR", VLOOKUP(A50,門市主檔!A:N,14,FALSE)=""), "未更換", IF(VLOOKUP(A50,門市主檔!A:Y,25,FALSE)&lt;&gt;"STAR", "無專案", "已更換"))</f>
        <v>無專案</v>
      </c>
      <c r="H50" s="343">
        <f>VLOOKUP(A50,門市主檔!A:U,21,FALSE)</f>
        <v>0</v>
      </c>
      <c r="I50" s="237" t="str">
        <f>VLOOKUP(A50,'0919門市清單主檔'!B:V,21,FALSE)</f>
        <v>新莊區</v>
      </c>
      <c r="J50" s="249">
        <v>45712.631944444445</v>
      </c>
      <c r="K50" s="215"/>
      <c r="L50" s="215"/>
      <c r="M50" s="215"/>
      <c r="N50" s="215"/>
      <c r="O50" s="215"/>
      <c r="P50" s="215"/>
      <c r="Q50" s="215"/>
    </row>
    <row r="51" spans="1:17" ht="21.6" customHeight="1">
      <c r="A51" s="237">
        <v>3999</v>
      </c>
      <c r="B51" s="237" t="str">
        <f>VLOOKUP(A51,門市主檔!A:B,2,FALSE)</f>
        <v>新莊福祐店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3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1</v>
      </c>
      <c r="I51" s="237" t="str">
        <f>VLOOKUP(A51,'0919門市清單主檔'!B:V,21,FALSE)</f>
        <v>新莊區</v>
      </c>
      <c r="J51" s="249">
        <v>45712.618055555555</v>
      </c>
      <c r="K51" s="215"/>
      <c r="L51" s="215"/>
      <c r="M51" s="215"/>
      <c r="N51" s="215"/>
      <c r="O51" s="215"/>
      <c r="P51" s="215"/>
      <c r="Q51" s="215"/>
    </row>
    <row r="52" spans="1:17" ht="21.6" customHeight="1">
      <c r="A52" s="237">
        <v>4856</v>
      </c>
      <c r="B52" s="237" t="str">
        <f>VLOOKUP(A52,門市主檔!A:B,2,FALSE)</f>
        <v>新莊小胖店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3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1</v>
      </c>
      <c r="I52" s="237" t="str">
        <f>VLOOKUP(A52,'0919門市清單主檔'!B:V,21,FALSE)</f>
        <v>新莊區</v>
      </c>
      <c r="J52" s="249">
        <v>45665.444444444445</v>
      </c>
      <c r="K52" s="215"/>
      <c r="L52" s="215"/>
      <c r="M52" s="215"/>
      <c r="N52" s="215"/>
      <c r="O52" s="215"/>
      <c r="P52" s="215"/>
      <c r="Q52" s="215"/>
    </row>
    <row r="53" spans="1:17" ht="19.5" customHeight="1">
      <c r="A53" s="237">
        <v>3380</v>
      </c>
      <c r="B53" s="237" t="str">
        <f>VLOOKUP(A53,門市主檔!A:B,2,FALSE)</f>
        <v>北縣莊勝店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3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1</v>
      </c>
      <c r="I53" s="237" t="str">
        <f>VLOOKUP(A53,'0919門市清單主檔'!B:V,21,FALSE)</f>
        <v>新莊區</v>
      </c>
      <c r="J53" s="249">
        <v>45663.673611111109</v>
      </c>
      <c r="K53" s="215"/>
      <c r="L53" s="215"/>
      <c r="M53" s="215"/>
      <c r="N53" s="215"/>
      <c r="O53" s="215"/>
      <c r="P53" s="215" t="s">
        <v>55</v>
      </c>
      <c r="Q53" s="245" t="s">
        <v>4120</v>
      </c>
    </row>
    <row r="54" spans="1:17" ht="19.5" customHeight="1">
      <c r="A54" s="237">
        <v>4163</v>
      </c>
      <c r="B54" s="237" t="str">
        <f>VLOOKUP(A54,門市主檔!A:B,2,FALSE)</f>
        <v>新莊中泉店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3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未更換</v>
      </c>
      <c r="H54" s="343">
        <f>VLOOKUP(A54,門市主檔!A:U,21,FALSE)</f>
        <v>2</v>
      </c>
      <c r="I54" s="237" t="str">
        <f>VLOOKUP(A54,'0919門市清單主檔'!B:V,21,FALSE)</f>
        <v>新莊區</v>
      </c>
      <c r="J54" s="249">
        <v>45666.65625</v>
      </c>
      <c r="K54" s="215"/>
      <c r="L54" s="215"/>
      <c r="M54" s="215"/>
      <c r="N54" s="215"/>
      <c r="O54" s="215"/>
      <c r="P54" s="215" t="s">
        <v>55</v>
      </c>
      <c r="Q54" s="245" t="s">
        <v>4120</v>
      </c>
    </row>
    <row r="55" spans="1:17" ht="19.5" customHeight="1">
      <c r="A55" s="237">
        <v>3052</v>
      </c>
      <c r="B55" s="237" t="str">
        <f>VLOOKUP(A55,門市主檔!A:B,2,FALSE)</f>
        <v>北縣莊玲店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3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新莊區</v>
      </c>
      <c r="J55" s="249">
        <v>45663.635416666664</v>
      </c>
      <c r="K55" s="215"/>
      <c r="L55" s="215"/>
      <c r="M55" s="215"/>
      <c r="N55" s="215"/>
      <c r="O55" s="215"/>
      <c r="P55" s="215" t="s">
        <v>55</v>
      </c>
      <c r="Q55" s="245" t="s">
        <v>4120</v>
      </c>
    </row>
    <row r="56" spans="1:17" ht="18.75" customHeight="1">
      <c r="A56" s="237" t="s">
        <v>45</v>
      </c>
      <c r="B56" s="237" t="str">
        <f>VLOOKUP(A56,門市主檔!A:B,2,FALSE)</f>
        <v>新莊福營店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3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2</v>
      </c>
      <c r="I56" s="237" t="str">
        <f>VLOOKUP(A56,'0919門市清單主檔'!B:V,21,FALSE)</f>
        <v>新莊區</v>
      </c>
      <c r="J56" s="249">
        <v>45665.65625</v>
      </c>
      <c r="K56" s="215"/>
      <c r="L56" s="215"/>
      <c r="M56" s="215"/>
      <c r="N56" s="215"/>
      <c r="O56" s="215"/>
      <c r="P56" s="215" t="s">
        <v>55</v>
      </c>
      <c r="Q56" s="245" t="s">
        <v>4120</v>
      </c>
    </row>
    <row r="57" spans="1:17" ht="18.75" customHeight="1">
      <c r="A57" s="237" t="s">
        <v>44</v>
      </c>
      <c r="B57" s="237" t="str">
        <f>VLOOKUP(A57,門市主檔!A:B,2,FALSE)</f>
        <v>新莊裕民店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3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新莊區</v>
      </c>
      <c r="J57" s="249">
        <v>45663.548611111109</v>
      </c>
      <c r="K57" s="215"/>
      <c r="L57" s="215"/>
      <c r="M57" s="215"/>
      <c r="N57" s="215"/>
      <c r="O57" s="215"/>
      <c r="P57" s="215"/>
      <c r="Q57" s="245" t="s">
        <v>4120</v>
      </c>
    </row>
    <row r="58" spans="1:17" ht="18.75" customHeight="1">
      <c r="A58" s="237" t="s">
        <v>4060</v>
      </c>
      <c r="B58" s="237" t="str">
        <f>VLOOKUP(A58,門市主檔!A:B,2,FALSE)</f>
        <v>田倉民安店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3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無專案</v>
      </c>
      <c r="H58" s="343">
        <f>VLOOKUP(A58,門市主檔!A:U,21,FALSE)</f>
        <v>0</v>
      </c>
      <c r="I58" s="237" t="str">
        <f>VLOOKUP(A58,'0919門市清單主檔'!B:V,21,FALSE)</f>
        <v>新莊區</v>
      </c>
      <c r="J58" s="249">
        <v>45665.645833333336</v>
      </c>
      <c r="K58" s="215"/>
      <c r="L58" s="215"/>
      <c r="M58" s="215"/>
      <c r="N58" s="215"/>
      <c r="O58" s="215"/>
      <c r="P58" s="215"/>
      <c r="Q58" s="245" t="s">
        <v>4120</v>
      </c>
    </row>
    <row r="59" spans="1:17" ht="18.75" customHeight="1">
      <c r="A59" s="237">
        <v>4144</v>
      </c>
      <c r="B59" s="237" t="str">
        <f>VLOOKUP(A59,門市主檔!A:B,2,FALSE)</f>
        <v>新莊頭前店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3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未更換</v>
      </c>
      <c r="H59" s="343">
        <f>VLOOKUP(A59,門市主檔!A:U,21,FALSE)</f>
        <v>2</v>
      </c>
      <c r="I59" s="237" t="str">
        <f>VLOOKUP(A59,'0919門市清單主檔'!B:V,21,FALSE)</f>
        <v>新莊區</v>
      </c>
      <c r="J59" s="249">
        <v>45691.5625</v>
      </c>
      <c r="K59" s="215"/>
      <c r="L59" s="215"/>
      <c r="M59" s="215"/>
      <c r="N59" s="215"/>
      <c r="O59" s="215"/>
      <c r="P59" s="215"/>
      <c r="Q59" s="245" t="s">
        <v>4120</v>
      </c>
    </row>
    <row r="60" spans="1:17" ht="18.75" customHeight="1">
      <c r="A60" s="237">
        <v>4005</v>
      </c>
      <c r="B60" s="237" t="str">
        <f>VLOOKUP(A60,門市主檔!A:B,2,FALSE)</f>
        <v>新莊雙鳳店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3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新莊區</v>
      </c>
      <c r="J60" s="249">
        <v>45678.5625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8.75" customHeight="1">
      <c r="A61" s="237">
        <v>3785</v>
      </c>
      <c r="B61" s="237" t="str">
        <f>VLOOKUP(A61,門市主檔!A:B,2,FALSE)</f>
        <v>北縣莊榮店</v>
      </c>
      <c r="C61" s="359" t="str">
        <f>IF(COUNTIFS(IM!$F:$F,A61,IM!$AD:$AD,"O",IM!$X:$X,"&gt;="&amp;$R$1, IM!$X:$X,"&lt;="&amp;$S$1)&gt;0,"V","")</f>
        <v/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3"/>
        <v>未保養</v>
      </c>
      <c r="G61" s="237" t="str">
        <f>IF(AND(VLOOKUP(A61,門市主檔!A:Y,25,FALSE)="STAR", VLOOKUP(A61,門市主檔!A:N,14,FALSE)=""), "未更換", IF(VLOOKUP(A61,門市主檔!A:Y,25,FALSE)&lt;&gt;"STAR", "無專案", "已更換"))</f>
        <v>無專案</v>
      </c>
      <c r="H61" s="343">
        <f>VLOOKUP(A61,門市主檔!A:U,21,FALSE)</f>
        <v>0</v>
      </c>
      <c r="I61" s="237" t="str">
        <f>VLOOKUP(A61,'0919門市清單主檔'!B:V,21,FALSE)</f>
        <v>新莊區</v>
      </c>
      <c r="J61" s="249">
        <v>45695.652777777781</v>
      </c>
      <c r="K61" s="215"/>
      <c r="L61" s="215"/>
      <c r="M61" s="215"/>
      <c r="N61" s="215"/>
      <c r="O61" s="215"/>
      <c r="P61" s="215"/>
      <c r="Q61" s="245" t="s">
        <v>4120</v>
      </c>
    </row>
    <row r="62" spans="1:17" ht="18.75" customHeight="1">
      <c r="A62" s="237" t="s">
        <v>48</v>
      </c>
      <c r="B62" s="237" t="str">
        <f>VLOOKUP(A62,門市主檔!A:B,2,FALSE)</f>
        <v>田倉新樹店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3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1</v>
      </c>
      <c r="I62" s="237" t="str">
        <f>VLOOKUP(A62,'0919門市清單主檔'!B:V,21,FALSE)</f>
        <v>新莊區</v>
      </c>
      <c r="J62" s="249">
        <v>45695.583333333336</v>
      </c>
      <c r="K62" s="215"/>
      <c r="L62" s="215"/>
      <c r="M62" s="215"/>
      <c r="N62" s="215"/>
      <c r="O62" s="215"/>
      <c r="P62" s="215"/>
      <c r="Q62" s="245" t="s">
        <v>4120</v>
      </c>
    </row>
    <row r="63" spans="1:17" ht="18.75" customHeight="1">
      <c r="A63" s="237">
        <v>2743</v>
      </c>
      <c r="B63" s="237" t="str">
        <f>VLOOKUP(A63,門市主檔!A:B,2,FALSE)</f>
        <v>新莊豐年店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3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1</v>
      </c>
      <c r="I63" s="237" t="str">
        <f>VLOOKUP(A63,'0919門市清單主檔'!B:V,21,FALSE)</f>
        <v>新莊區</v>
      </c>
      <c r="J63" s="249">
        <v>45695.635416666664</v>
      </c>
      <c r="K63" s="215"/>
      <c r="L63" s="215"/>
      <c r="M63" s="215"/>
      <c r="N63" s="215"/>
      <c r="O63" s="215"/>
      <c r="P63" s="215"/>
      <c r="Q63" s="245" t="s">
        <v>4120</v>
      </c>
    </row>
    <row r="64" spans="1:17" ht="19.5" customHeight="1">
      <c r="A64" s="237">
        <v>2109</v>
      </c>
      <c r="B64" s="237" t="str">
        <f>VLOOKUP(A64,門市主檔!A:B,2,FALSE)</f>
        <v>北縣瓊林南店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3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新莊區</v>
      </c>
      <c r="J64" s="249">
        <v>45695.604166666664</v>
      </c>
      <c r="K64" s="215"/>
      <c r="L64" s="215"/>
      <c r="M64" s="215"/>
      <c r="N64" s="215"/>
      <c r="O64" s="215"/>
      <c r="P64" s="215"/>
      <c r="Q64" s="245" t="s">
        <v>4120</v>
      </c>
    </row>
    <row r="65" spans="1:17" ht="19.5" customHeight="1">
      <c r="A65" s="237">
        <v>4208</v>
      </c>
      <c r="B65" s="237" t="str">
        <f>VLOOKUP(A65,門市主檔!A:B,2,FALSE)</f>
        <v>新莊瓊泰店</v>
      </c>
      <c r="C65" s="359" t="str">
        <f>IF(COUNTIFS(IM!$F:$F,A65,IM!$AD:$AD,"O",IM!$X:$X,"&gt;="&amp;$R$1, IM!$X:$X,"&lt;="&amp;$S$1)&gt;0,"V","")</f>
        <v/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3"/>
        <v>未保養</v>
      </c>
      <c r="G65" s="237" t="str">
        <f>IF(AND(VLOOKUP(A65,門市主檔!A:Y,25,FALSE)="STAR", VLOOKUP(A65,門市主檔!A:N,14,FALSE)=""), "未更換", IF(VLOOKUP(A65,門市主檔!A:Y,25,FALSE)&lt;&gt;"STAR", "無專案", "已更換"))</f>
        <v>無專案</v>
      </c>
      <c r="H65" s="343">
        <f>VLOOKUP(A65,門市主檔!A:U,21,FALSE)</f>
        <v>0</v>
      </c>
      <c r="I65" s="237" t="str">
        <f>VLOOKUP(A65,'0919門市清單主檔'!B:V,21,FALSE)</f>
        <v>新莊區</v>
      </c>
      <c r="J65" s="249">
        <v>45695.618055555555</v>
      </c>
      <c r="K65" s="215"/>
      <c r="L65" s="215"/>
      <c r="M65" s="215"/>
      <c r="N65" s="215"/>
      <c r="O65" s="215"/>
      <c r="P65" s="215"/>
      <c r="Q65" s="245" t="s">
        <v>4120</v>
      </c>
    </row>
    <row r="66" spans="1:17" ht="15.75" customHeight="1">
      <c r="A66" s="215"/>
      <c r="B66" s="215"/>
      <c r="C66" s="363"/>
      <c r="D66" s="363"/>
      <c r="E66" s="363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 spans="1:17" ht="15.75" customHeight="1">
      <c r="A67" s="215"/>
      <c r="B67" s="215"/>
      <c r="C67" s="363"/>
      <c r="D67" s="363"/>
      <c r="E67" s="363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 spans="1:17" ht="15.75" customHeight="1">
      <c r="A68" s="215"/>
      <c r="B68" s="215"/>
      <c r="C68" s="363"/>
      <c r="D68" s="363"/>
      <c r="E68" s="363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 spans="1:17" ht="15.75" customHeight="1">
      <c r="A69" s="215"/>
      <c r="B69" s="215"/>
      <c r="C69" s="363"/>
      <c r="D69" s="363"/>
      <c r="E69" s="363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 spans="1:17" ht="15.75" customHeight="1">
      <c r="A70" s="215"/>
      <c r="B70" s="215"/>
      <c r="C70" s="363"/>
      <c r="D70" s="363"/>
      <c r="E70" s="363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 spans="1:17" ht="15.75" customHeight="1">
      <c r="A71" s="215"/>
      <c r="B71" s="215"/>
      <c r="C71" s="363"/>
      <c r="D71" s="363"/>
      <c r="E71" s="363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 spans="1:17" ht="15.75" customHeight="1">
      <c r="A72" s="215"/>
      <c r="B72" s="215"/>
      <c r="C72" s="363"/>
      <c r="D72" s="363"/>
      <c r="E72" s="363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 spans="1:17" ht="15.75" customHeight="1">
      <c r="A73" s="215"/>
      <c r="B73" s="215"/>
      <c r="C73" s="363"/>
      <c r="D73" s="363"/>
      <c r="E73" s="363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 spans="1:17" ht="15.75" customHeight="1">
      <c r="A74" s="215"/>
      <c r="B74" s="215"/>
      <c r="C74" s="363"/>
      <c r="D74" s="363"/>
      <c r="E74" s="363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 spans="1:17" ht="15.75" customHeight="1">
      <c r="A75" s="215"/>
      <c r="B75" s="215"/>
      <c r="C75" s="363"/>
      <c r="D75" s="363"/>
      <c r="E75" s="363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 spans="1:17" ht="15.75" customHeight="1">
      <c r="A76" s="215"/>
      <c r="B76" s="215"/>
      <c r="C76" s="363"/>
      <c r="D76" s="363"/>
      <c r="E76" s="363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 spans="1:17" ht="15.75" customHeight="1">
      <c r="A77" s="215"/>
      <c r="B77" s="215"/>
      <c r="C77" s="363"/>
      <c r="D77" s="363"/>
      <c r="E77" s="363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 spans="1:17" ht="15.75" customHeight="1">
      <c r="A78" s="215"/>
      <c r="B78" s="215"/>
      <c r="C78" s="363"/>
      <c r="D78" s="363"/>
      <c r="E78" s="363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 spans="1:17" ht="15.75" customHeight="1">
      <c r="A79" s="215"/>
      <c r="B79" s="215"/>
      <c r="C79" s="363"/>
      <c r="D79" s="363"/>
      <c r="E79" s="363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 spans="1:17" ht="15.75" customHeight="1">
      <c r="A80" s="215"/>
      <c r="B80" s="215"/>
      <c r="C80" s="363"/>
      <c r="D80" s="363"/>
      <c r="E80" s="363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 spans="1:17" ht="15.75" customHeight="1">
      <c r="A81" s="215"/>
      <c r="B81" s="215"/>
      <c r="C81" s="363"/>
      <c r="D81" s="363"/>
      <c r="E81" s="363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 spans="1:17" ht="15.75" customHeight="1">
      <c r="A82" s="215"/>
      <c r="B82" s="215"/>
      <c r="C82" s="363"/>
      <c r="D82" s="363"/>
      <c r="E82" s="363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 spans="1:17" ht="15.75" customHeight="1">
      <c r="A83" s="215"/>
      <c r="B83" s="215"/>
      <c r="C83" s="363"/>
      <c r="D83" s="363"/>
      <c r="E83" s="363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1:17" ht="15.75" customHeight="1">
      <c r="A84" s="215"/>
      <c r="B84" s="215"/>
      <c r="C84" s="363"/>
      <c r="D84" s="363"/>
      <c r="E84" s="363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1:17" ht="15.75" customHeight="1">
      <c r="A85" s="215"/>
      <c r="B85" s="215"/>
      <c r="C85" s="363"/>
      <c r="D85" s="363"/>
      <c r="E85" s="363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 spans="1:17" ht="15.75" customHeight="1">
      <c r="A86" s="215"/>
      <c r="B86" s="215"/>
      <c r="C86" s="363"/>
      <c r="D86" s="363"/>
      <c r="E86" s="363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 spans="1:17" ht="15.75" customHeight="1">
      <c r="A87" s="215"/>
      <c r="B87" s="215"/>
      <c r="C87" s="363"/>
      <c r="D87" s="363"/>
      <c r="E87" s="363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 spans="1:17" ht="15.75" customHeight="1">
      <c r="A88" s="215"/>
      <c r="B88" s="215"/>
      <c r="C88" s="363"/>
      <c r="D88" s="363"/>
      <c r="E88" s="363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 spans="1:17" ht="15.75" customHeight="1">
      <c r="A89" s="215"/>
      <c r="B89" s="215"/>
      <c r="C89" s="363"/>
      <c r="D89" s="363"/>
      <c r="E89" s="363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 spans="1:17" ht="15.75" customHeight="1">
      <c r="A90" s="215"/>
      <c r="B90" s="215"/>
      <c r="C90" s="363"/>
      <c r="D90" s="363"/>
      <c r="E90" s="363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 spans="1:17" ht="15.75" customHeight="1">
      <c r="A91" s="215"/>
      <c r="B91" s="215"/>
      <c r="C91" s="363"/>
      <c r="D91" s="363"/>
      <c r="E91" s="363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 spans="1:17" ht="15.75" customHeight="1">
      <c r="A92" s="215"/>
      <c r="B92" s="215"/>
      <c r="C92" s="363"/>
      <c r="D92" s="363"/>
      <c r="E92" s="363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 spans="1:17" ht="15.75" customHeight="1">
      <c r="A93" s="215"/>
      <c r="B93" s="215"/>
      <c r="C93" s="363"/>
      <c r="D93" s="363"/>
      <c r="E93" s="363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 spans="1:17" ht="15.75" customHeight="1">
      <c r="A94" s="215"/>
      <c r="B94" s="215"/>
      <c r="C94" s="363"/>
      <c r="D94" s="363"/>
      <c r="E94" s="363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 spans="1:17" ht="15.75" customHeight="1">
      <c r="A95" s="215"/>
      <c r="B95" s="215"/>
      <c r="C95" s="363"/>
      <c r="D95" s="363"/>
      <c r="E95" s="363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 spans="1:17" ht="15.75" customHeight="1">
      <c r="A96" s="215"/>
      <c r="B96" s="215"/>
      <c r="C96" s="363"/>
      <c r="D96" s="363"/>
      <c r="E96" s="363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 spans="1:17" ht="15.75" customHeight="1">
      <c r="A97" s="215"/>
      <c r="B97" s="215"/>
      <c r="C97" s="363"/>
      <c r="D97" s="363"/>
      <c r="E97" s="363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 spans="1:17" ht="15.75" customHeight="1">
      <c r="A98" s="215"/>
      <c r="B98" s="215"/>
      <c r="C98" s="363"/>
      <c r="D98" s="363"/>
      <c r="E98" s="363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 spans="1:17" ht="15.75" customHeight="1">
      <c r="A99" s="215"/>
      <c r="B99" s="215"/>
      <c r="C99" s="363"/>
      <c r="D99" s="363"/>
      <c r="E99" s="363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ht="15.75" customHeight="1">
      <c r="A100" s="215"/>
      <c r="B100" s="215"/>
      <c r="C100" s="363"/>
      <c r="D100" s="363"/>
      <c r="E100" s="363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 spans="1:17" ht="15.75" customHeight="1">
      <c r="A101" s="215"/>
      <c r="B101" s="215"/>
      <c r="C101" s="363"/>
      <c r="D101" s="363"/>
      <c r="E101" s="363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 spans="1:17" ht="15.75" customHeight="1">
      <c r="A102" s="215"/>
      <c r="B102" s="215"/>
      <c r="C102" s="363"/>
      <c r="D102" s="363"/>
      <c r="E102" s="363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 spans="1:17" ht="15.75" customHeight="1">
      <c r="A103" s="215"/>
      <c r="B103" s="215"/>
      <c r="C103" s="363"/>
      <c r="D103" s="363"/>
      <c r="E103" s="363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 spans="1:17" ht="15.75" customHeight="1">
      <c r="A104" s="215"/>
      <c r="B104" s="215"/>
      <c r="C104" s="363"/>
      <c r="D104" s="363"/>
      <c r="E104" s="363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 spans="1:17" ht="15.75" customHeight="1">
      <c r="A105" s="215"/>
      <c r="B105" s="215"/>
      <c r="C105" s="363"/>
      <c r="D105" s="363"/>
      <c r="E105" s="363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 spans="1:17" ht="15.75" customHeight="1">
      <c r="A106" s="215"/>
      <c r="B106" s="215"/>
      <c r="C106" s="363"/>
      <c r="D106" s="363"/>
      <c r="E106" s="363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 spans="1:17" ht="15.75" customHeight="1">
      <c r="A107" s="215"/>
      <c r="B107" s="215"/>
      <c r="C107" s="363"/>
      <c r="D107" s="363"/>
      <c r="E107" s="363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 spans="1:17" ht="15.75" customHeight="1">
      <c r="A108" s="215"/>
      <c r="B108" s="215"/>
      <c r="C108" s="363"/>
      <c r="D108" s="363"/>
      <c r="E108" s="363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 spans="1:17" ht="15.75" customHeight="1">
      <c r="A109" s="215"/>
      <c r="B109" s="215"/>
      <c r="C109" s="363"/>
      <c r="D109" s="363"/>
      <c r="E109" s="363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 spans="1:17" ht="15.75" customHeight="1">
      <c r="A110" s="215"/>
      <c r="B110" s="215"/>
      <c r="C110" s="363"/>
      <c r="D110" s="363"/>
      <c r="E110" s="363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 spans="1:17" ht="15.75" customHeight="1">
      <c r="A111" s="215"/>
      <c r="B111" s="215"/>
      <c r="C111" s="363"/>
      <c r="D111" s="363"/>
      <c r="E111" s="363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 spans="1:17" ht="15.75" customHeight="1">
      <c r="A112" s="215"/>
      <c r="B112" s="215"/>
      <c r="C112" s="363"/>
      <c r="D112" s="363"/>
      <c r="E112" s="363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ht="15.75" customHeight="1">
      <c r="A113" s="215"/>
      <c r="B113" s="215"/>
      <c r="C113" s="363"/>
      <c r="D113" s="363"/>
      <c r="E113" s="363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ht="15.75" customHeight="1">
      <c r="A114" s="215"/>
      <c r="B114" s="215"/>
      <c r="C114" s="363"/>
      <c r="D114" s="363"/>
      <c r="E114" s="363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 spans="1:17" ht="15.75" customHeight="1">
      <c r="A115" s="215"/>
      <c r="B115" s="215"/>
      <c r="C115" s="363"/>
      <c r="D115" s="363"/>
      <c r="E115" s="363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 spans="1:17" ht="15.75" customHeight="1">
      <c r="A116" s="215"/>
      <c r="B116" s="215"/>
      <c r="C116" s="363"/>
      <c r="D116" s="363"/>
      <c r="E116" s="363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 spans="1:17" ht="15.75" customHeight="1">
      <c r="A117" s="215"/>
      <c r="B117" s="215"/>
      <c r="C117" s="363"/>
      <c r="D117" s="363"/>
      <c r="E117" s="363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 spans="1:17" ht="15.75" customHeight="1">
      <c r="A118" s="215"/>
      <c r="B118" s="215"/>
      <c r="C118" s="363"/>
      <c r="D118" s="363"/>
      <c r="E118" s="363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 spans="1:17" ht="15.75" customHeight="1">
      <c r="A119" s="215"/>
      <c r="B119" s="215"/>
      <c r="C119" s="363"/>
      <c r="D119" s="363"/>
      <c r="E119" s="363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 spans="1:17" ht="15.75" customHeight="1">
      <c r="A120" s="215"/>
      <c r="B120" s="215"/>
      <c r="C120" s="363"/>
      <c r="D120" s="363"/>
      <c r="E120" s="363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 spans="1:17" ht="15.75" customHeight="1">
      <c r="A121" s="215"/>
      <c r="B121" s="215"/>
      <c r="C121" s="363"/>
      <c r="D121" s="363"/>
      <c r="E121" s="363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 spans="1:17" ht="15.75" customHeight="1">
      <c r="A122" s="215"/>
      <c r="B122" s="215"/>
      <c r="C122" s="363"/>
      <c r="D122" s="363"/>
      <c r="E122" s="363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 spans="1:17" ht="15.75" customHeight="1">
      <c r="A123" s="215"/>
      <c r="B123" s="215"/>
      <c r="C123" s="363"/>
      <c r="D123" s="363"/>
      <c r="E123" s="363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 spans="1:17" ht="15.75" customHeight="1">
      <c r="A124" s="215"/>
      <c r="B124" s="215"/>
      <c r="C124" s="363"/>
      <c r="D124" s="363"/>
      <c r="E124" s="363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 spans="1:17" ht="15.75" customHeight="1">
      <c r="A125" s="215"/>
      <c r="B125" s="215"/>
      <c r="C125" s="363"/>
      <c r="D125" s="363"/>
      <c r="E125" s="363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 spans="1:17" ht="15.75" customHeight="1">
      <c r="A126" s="215"/>
      <c r="B126" s="215"/>
      <c r="C126" s="363"/>
      <c r="D126" s="363"/>
      <c r="E126" s="363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 spans="1:17" ht="15.75" customHeight="1">
      <c r="A127" s="215"/>
      <c r="B127" s="215"/>
      <c r="C127" s="363"/>
      <c r="D127" s="363"/>
      <c r="E127" s="363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 spans="1:17" ht="15.75" customHeight="1">
      <c r="A128" s="215"/>
      <c r="B128" s="215"/>
      <c r="C128" s="363"/>
      <c r="D128" s="363"/>
      <c r="E128" s="363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 spans="1:17" ht="15.75" customHeight="1">
      <c r="A129" s="215"/>
      <c r="B129" s="215"/>
      <c r="C129" s="363"/>
      <c r="D129" s="363"/>
      <c r="E129" s="363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 spans="1:17" ht="15.75" customHeight="1">
      <c r="A130" s="215"/>
      <c r="B130" s="215"/>
      <c r="C130" s="363"/>
      <c r="D130" s="363"/>
      <c r="E130" s="363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 spans="1:17" ht="15.75" customHeight="1">
      <c r="A131" s="215"/>
      <c r="B131" s="215"/>
      <c r="C131" s="363"/>
      <c r="D131" s="363"/>
      <c r="E131" s="363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 spans="1:17" ht="15.75" customHeight="1">
      <c r="A132" s="215"/>
      <c r="B132" s="215"/>
      <c r="C132" s="363"/>
      <c r="D132" s="363"/>
      <c r="E132" s="363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 spans="1:17" ht="15.75" customHeight="1">
      <c r="A133" s="215"/>
      <c r="B133" s="215"/>
      <c r="C133" s="363"/>
      <c r="D133" s="363"/>
      <c r="E133" s="363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 spans="1:17" ht="15.75" customHeight="1">
      <c r="A134" s="215"/>
      <c r="B134" s="215"/>
      <c r="C134" s="363"/>
      <c r="D134" s="363"/>
      <c r="E134" s="363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7" ht="15.75" customHeight="1">
      <c r="A135" s="215"/>
      <c r="B135" s="215"/>
      <c r="C135" s="363"/>
      <c r="D135" s="363"/>
      <c r="E135" s="363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7" ht="15.75" customHeight="1">
      <c r="A136" s="215"/>
      <c r="B136" s="215"/>
      <c r="C136" s="363"/>
      <c r="D136" s="363"/>
      <c r="E136" s="363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 spans="1:17" ht="15.75" customHeight="1">
      <c r="A137" s="215"/>
      <c r="B137" s="215"/>
      <c r="C137" s="363"/>
      <c r="D137" s="363"/>
      <c r="E137" s="363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 spans="1:17" ht="15.75" customHeight="1">
      <c r="A138" s="215"/>
      <c r="B138" s="215"/>
      <c r="C138" s="363"/>
      <c r="D138" s="363"/>
      <c r="E138" s="363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 spans="1:17" ht="15.75" customHeight="1">
      <c r="A139" s="215"/>
      <c r="B139" s="215"/>
      <c r="C139" s="363"/>
      <c r="D139" s="363"/>
      <c r="E139" s="363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 spans="1:17" ht="15.75" customHeight="1">
      <c r="A140" s="215"/>
      <c r="B140" s="215"/>
      <c r="C140" s="363"/>
      <c r="D140" s="363"/>
      <c r="E140" s="363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 spans="1:17" ht="15.75" customHeight="1">
      <c r="A141" s="215"/>
      <c r="B141" s="215"/>
      <c r="C141" s="363"/>
      <c r="D141" s="363"/>
      <c r="E141" s="363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 spans="1:17" ht="15.75" customHeight="1">
      <c r="A142" s="215"/>
      <c r="B142" s="215"/>
      <c r="C142" s="363"/>
      <c r="D142" s="363"/>
      <c r="E142" s="363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 spans="1:17" ht="15.75" customHeight="1">
      <c r="A143" s="215"/>
      <c r="B143" s="215"/>
      <c r="C143" s="363"/>
      <c r="D143" s="363"/>
      <c r="E143" s="363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 spans="1:17" ht="15.75" customHeight="1">
      <c r="A144" s="215"/>
      <c r="B144" s="215"/>
      <c r="C144" s="363"/>
      <c r="D144" s="363"/>
      <c r="E144" s="363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 spans="1:17" ht="15.75" customHeight="1">
      <c r="A145" s="215"/>
      <c r="B145" s="215"/>
      <c r="C145" s="363"/>
      <c r="D145" s="363"/>
      <c r="E145" s="363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 spans="1:17" ht="15.75" customHeight="1">
      <c r="A146" s="215"/>
      <c r="B146" s="215"/>
      <c r="C146" s="363"/>
      <c r="D146" s="363"/>
      <c r="E146" s="363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 spans="1:17" ht="15.75" customHeight="1">
      <c r="A147" s="215"/>
      <c r="B147" s="215"/>
      <c r="C147" s="363"/>
      <c r="D147" s="363"/>
      <c r="E147" s="363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 spans="1:17" ht="15.75" customHeight="1">
      <c r="A148" s="215"/>
      <c r="B148" s="215"/>
      <c r="C148" s="363"/>
      <c r="D148" s="363"/>
      <c r="E148" s="363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 spans="1:17" ht="15.75" customHeight="1">
      <c r="A149" s="215"/>
      <c r="B149" s="215"/>
      <c r="C149" s="363"/>
      <c r="D149" s="363"/>
      <c r="E149" s="363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 spans="1:17" ht="15.75" customHeight="1">
      <c r="A150" s="215"/>
      <c r="B150" s="215"/>
      <c r="C150" s="363"/>
      <c r="D150" s="363"/>
      <c r="E150" s="363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 spans="1:17" ht="15.75" customHeight="1">
      <c r="A151" s="215"/>
      <c r="B151" s="215"/>
      <c r="C151" s="363"/>
      <c r="D151" s="363"/>
      <c r="E151" s="363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 spans="1:17" ht="15.75" customHeight="1">
      <c r="A152" s="215"/>
      <c r="B152" s="215"/>
      <c r="C152" s="363"/>
      <c r="D152" s="363"/>
      <c r="E152" s="363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 spans="1:17" ht="15.75" customHeight="1">
      <c r="A153" s="215"/>
      <c r="B153" s="215"/>
      <c r="C153" s="363"/>
      <c r="D153" s="363"/>
      <c r="E153" s="363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 spans="1:17" ht="15.75" customHeight="1">
      <c r="A154" s="215"/>
      <c r="B154" s="215"/>
      <c r="C154" s="363"/>
      <c r="D154" s="363"/>
      <c r="E154" s="363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7" ht="15.75" customHeight="1">
      <c r="A155" s="215"/>
      <c r="B155" s="215"/>
      <c r="C155" s="363"/>
      <c r="D155" s="363"/>
      <c r="E155" s="363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 spans="1:17" ht="15.75" customHeight="1">
      <c r="A156" s="215"/>
      <c r="B156" s="215"/>
      <c r="C156" s="363"/>
      <c r="D156" s="363"/>
      <c r="E156" s="363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7" ht="15.75" customHeight="1">
      <c r="A157" s="215"/>
      <c r="B157" s="215"/>
      <c r="C157" s="363"/>
      <c r="D157" s="363"/>
      <c r="E157" s="363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 spans="1:17" ht="15.75" customHeight="1">
      <c r="A158" s="215"/>
      <c r="B158" s="215"/>
      <c r="C158" s="363"/>
      <c r="D158" s="363"/>
      <c r="E158" s="363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 spans="1:17" ht="15.75" customHeight="1">
      <c r="A159" s="215"/>
      <c r="B159" s="215"/>
      <c r="C159" s="363"/>
      <c r="D159" s="363"/>
      <c r="E159" s="363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1:17" ht="15.75" customHeight="1">
      <c r="A160" s="215"/>
      <c r="B160" s="215"/>
      <c r="C160" s="363"/>
      <c r="D160" s="363"/>
      <c r="E160" s="363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1:17" ht="15.75" customHeight="1">
      <c r="A161" s="215"/>
      <c r="B161" s="215"/>
      <c r="C161" s="363"/>
      <c r="D161" s="363"/>
      <c r="E161" s="363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 spans="1:17" ht="15.75" customHeight="1">
      <c r="A162" s="215"/>
      <c r="B162" s="215"/>
      <c r="C162" s="363"/>
      <c r="D162" s="363"/>
      <c r="E162" s="363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 spans="1:17" ht="15.75" customHeight="1">
      <c r="A163" s="215"/>
      <c r="B163" s="215"/>
      <c r="C163" s="363"/>
      <c r="D163" s="363"/>
      <c r="E163" s="363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 spans="1:17" ht="15.75" customHeight="1">
      <c r="A164" s="215"/>
      <c r="B164" s="215"/>
      <c r="C164" s="363"/>
      <c r="D164" s="363"/>
      <c r="E164" s="363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 spans="1:17" ht="15.75" customHeight="1">
      <c r="A165" s="215"/>
      <c r="B165" s="215"/>
      <c r="C165" s="363"/>
      <c r="D165" s="363"/>
      <c r="E165" s="363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 spans="1:17" ht="15.75" customHeight="1">
      <c r="A166" s="215"/>
      <c r="B166" s="215"/>
      <c r="C166" s="363"/>
      <c r="D166" s="363"/>
      <c r="E166" s="363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 spans="1:17" ht="15.75" customHeight="1">
      <c r="A167" s="215"/>
      <c r="B167" s="215"/>
      <c r="C167" s="363"/>
      <c r="D167" s="363"/>
      <c r="E167" s="363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 spans="1:17" ht="15.75" customHeight="1">
      <c r="A168" s="215"/>
      <c r="B168" s="215"/>
      <c r="C168" s="363"/>
      <c r="D168" s="363"/>
      <c r="E168" s="363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 spans="1:17" ht="15.75" customHeight="1">
      <c r="A169" s="215"/>
      <c r="B169" s="215"/>
      <c r="C169" s="363"/>
      <c r="D169" s="363"/>
      <c r="E169" s="363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 spans="1:17" ht="15.75" customHeight="1">
      <c r="A170" s="215"/>
      <c r="B170" s="215"/>
      <c r="C170" s="363"/>
      <c r="D170" s="363"/>
      <c r="E170" s="363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 spans="1:17" ht="15.75" customHeight="1">
      <c r="A171" s="215"/>
      <c r="B171" s="215"/>
      <c r="C171" s="363"/>
      <c r="D171" s="363"/>
      <c r="E171" s="363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 spans="1:17" ht="15.75" customHeight="1">
      <c r="A172" s="215"/>
      <c r="B172" s="215"/>
      <c r="C172" s="363"/>
      <c r="D172" s="363"/>
      <c r="E172" s="363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 spans="1:17" ht="15.75" customHeight="1">
      <c r="A173" s="215"/>
      <c r="B173" s="215"/>
      <c r="C173" s="363"/>
      <c r="D173" s="363"/>
      <c r="E173" s="363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 spans="1:17" ht="15.75" customHeight="1">
      <c r="A174" s="215"/>
      <c r="B174" s="215"/>
      <c r="C174" s="363"/>
      <c r="D174" s="363"/>
      <c r="E174" s="363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 spans="1:17" ht="15.75" customHeight="1">
      <c r="A175" s="215"/>
      <c r="B175" s="215"/>
      <c r="C175" s="363"/>
      <c r="D175" s="363"/>
      <c r="E175" s="363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 spans="1:17" ht="15.75" customHeight="1">
      <c r="A176" s="215"/>
      <c r="B176" s="215"/>
      <c r="C176" s="363"/>
      <c r="D176" s="363"/>
      <c r="E176" s="363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 spans="1:17" ht="15.75" customHeight="1">
      <c r="A177" s="215"/>
      <c r="B177" s="215"/>
      <c r="C177" s="363"/>
      <c r="D177" s="363"/>
      <c r="E177" s="363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 spans="1:17" ht="15.75" customHeight="1">
      <c r="A178" s="215"/>
      <c r="B178" s="215"/>
      <c r="C178" s="363"/>
      <c r="D178" s="363"/>
      <c r="E178" s="363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 spans="1:17" ht="15.75" customHeight="1">
      <c r="A179" s="215"/>
      <c r="B179" s="215"/>
      <c r="C179" s="363"/>
      <c r="D179" s="363"/>
      <c r="E179" s="363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 spans="1:17" ht="15.75" customHeight="1">
      <c r="A180" s="215"/>
      <c r="B180" s="215"/>
      <c r="C180" s="363"/>
      <c r="D180" s="363"/>
      <c r="E180" s="363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 spans="1:17" ht="15.75" customHeight="1">
      <c r="A181" s="215"/>
      <c r="B181" s="215"/>
      <c r="C181" s="363"/>
      <c r="D181" s="363"/>
      <c r="E181" s="363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 spans="1:17" ht="15.75" customHeight="1">
      <c r="A182" s="215"/>
      <c r="B182" s="215"/>
      <c r="C182" s="363"/>
      <c r="D182" s="363"/>
      <c r="E182" s="363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 spans="1:17" ht="15.75" customHeight="1">
      <c r="A183" s="215"/>
      <c r="B183" s="215"/>
      <c r="C183" s="363"/>
      <c r="D183" s="363"/>
      <c r="E183" s="363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 spans="1:17" ht="15.75" customHeight="1">
      <c r="A184" s="215"/>
      <c r="B184" s="215"/>
      <c r="C184" s="363"/>
      <c r="D184" s="363"/>
      <c r="E184" s="363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 spans="1:17" ht="15.75" customHeight="1">
      <c r="A185" s="215"/>
      <c r="B185" s="215"/>
      <c r="C185" s="363"/>
      <c r="D185" s="363"/>
      <c r="E185" s="363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 spans="1:17" ht="15.75" customHeight="1">
      <c r="A186" s="215"/>
      <c r="B186" s="215"/>
      <c r="C186" s="363"/>
      <c r="D186" s="363"/>
      <c r="E186" s="363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 spans="1:17" ht="15.75" customHeight="1">
      <c r="A187" s="215"/>
      <c r="B187" s="215"/>
      <c r="C187" s="363"/>
      <c r="D187" s="363"/>
      <c r="E187" s="363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 spans="1:17" ht="15.75" customHeight="1">
      <c r="A188" s="215"/>
      <c r="B188" s="215"/>
      <c r="C188" s="363"/>
      <c r="D188" s="363"/>
      <c r="E188" s="363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 spans="1:17" ht="15.75" customHeight="1">
      <c r="A189" s="215"/>
      <c r="B189" s="215"/>
      <c r="C189" s="363"/>
      <c r="D189" s="363"/>
      <c r="E189" s="363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 spans="1:17" ht="15.75" customHeight="1">
      <c r="A190" s="215"/>
      <c r="B190" s="215"/>
      <c r="C190" s="363"/>
      <c r="D190" s="363"/>
      <c r="E190" s="363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 spans="1:17" ht="15.75" customHeight="1">
      <c r="A191" s="215"/>
      <c r="B191" s="215"/>
      <c r="C191" s="363"/>
      <c r="D191" s="363"/>
      <c r="E191" s="363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 spans="1:17" ht="15.75" customHeight="1">
      <c r="A192" s="215"/>
      <c r="B192" s="215"/>
      <c r="C192" s="363"/>
      <c r="D192" s="363"/>
      <c r="E192" s="363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 spans="1:17" ht="15.75" customHeight="1">
      <c r="A193" s="215"/>
      <c r="B193" s="215"/>
      <c r="C193" s="363"/>
      <c r="D193" s="363"/>
      <c r="E193" s="363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 spans="1:17" ht="15.75" customHeight="1">
      <c r="A194" s="215"/>
      <c r="B194" s="215"/>
      <c r="C194" s="363"/>
      <c r="D194" s="363"/>
      <c r="E194" s="363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 spans="1:17" ht="15.75" customHeight="1">
      <c r="A195" s="215"/>
      <c r="B195" s="215"/>
      <c r="C195" s="363"/>
      <c r="D195" s="363"/>
      <c r="E195" s="363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 spans="1:17" ht="15.75" customHeight="1">
      <c r="A196" s="215"/>
      <c r="B196" s="215"/>
      <c r="C196" s="363"/>
      <c r="D196" s="363"/>
      <c r="E196" s="363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 spans="1:17" ht="15.75" customHeight="1">
      <c r="A197" s="215"/>
      <c r="B197" s="215"/>
      <c r="C197" s="363"/>
      <c r="D197" s="363"/>
      <c r="E197" s="363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 spans="1:17" ht="15.75" customHeight="1">
      <c r="A198" s="215"/>
      <c r="B198" s="215"/>
      <c r="C198" s="363"/>
      <c r="D198" s="363"/>
      <c r="E198" s="363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 spans="1:17" ht="15.75" customHeight="1">
      <c r="A199" s="215"/>
      <c r="B199" s="215"/>
      <c r="C199" s="363"/>
      <c r="D199" s="363"/>
      <c r="E199" s="363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 spans="1:17" ht="15.75" customHeight="1">
      <c r="A200" s="215"/>
      <c r="B200" s="215"/>
      <c r="C200" s="363"/>
      <c r="D200" s="363"/>
      <c r="E200" s="363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 spans="1:17" ht="15.75" customHeight="1">
      <c r="A201" s="215"/>
      <c r="B201" s="215"/>
      <c r="C201" s="363"/>
      <c r="D201" s="363"/>
      <c r="E201" s="363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 spans="1:17" ht="15.75" customHeight="1">
      <c r="A202" s="215"/>
      <c r="B202" s="215"/>
      <c r="C202" s="363"/>
      <c r="D202" s="363"/>
      <c r="E202" s="363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 spans="1:17" ht="15.75" customHeight="1">
      <c r="A203" s="215"/>
      <c r="B203" s="215"/>
      <c r="C203" s="363"/>
      <c r="D203" s="363"/>
      <c r="E203" s="363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 spans="1:17" ht="15.75" customHeight="1">
      <c r="A204" s="215"/>
      <c r="B204" s="215"/>
      <c r="C204" s="363"/>
      <c r="D204" s="363"/>
      <c r="E204" s="363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 spans="1:17" ht="15.75" customHeight="1">
      <c r="A205" s="215"/>
      <c r="B205" s="215"/>
      <c r="C205" s="363"/>
      <c r="D205" s="363"/>
      <c r="E205" s="363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 spans="1:17" ht="15.75" customHeight="1">
      <c r="A206" s="215"/>
      <c r="B206" s="215"/>
      <c r="C206" s="363"/>
      <c r="D206" s="363"/>
      <c r="E206" s="363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 spans="1:17" ht="15.75" customHeight="1">
      <c r="A207" s="215"/>
      <c r="B207" s="215"/>
      <c r="C207" s="363"/>
      <c r="D207" s="363"/>
      <c r="E207" s="363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 spans="1:17" ht="15.75" customHeight="1">
      <c r="A208" s="215"/>
      <c r="B208" s="215"/>
      <c r="C208" s="363"/>
      <c r="D208" s="363"/>
      <c r="E208" s="363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 spans="1:17" ht="15.75" customHeight="1">
      <c r="A209" s="215"/>
      <c r="B209" s="215"/>
      <c r="C209" s="363"/>
      <c r="D209" s="363"/>
      <c r="E209" s="363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 spans="1:17" ht="15.75" customHeight="1">
      <c r="A210" s="215"/>
      <c r="B210" s="215"/>
      <c r="C210" s="363"/>
      <c r="D210" s="363"/>
      <c r="E210" s="363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 spans="1:17" ht="15.75" customHeight="1">
      <c r="A211" s="215"/>
      <c r="B211" s="215"/>
      <c r="C211" s="363"/>
      <c r="D211" s="363"/>
      <c r="E211" s="363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 spans="1:17" ht="15.75" customHeight="1">
      <c r="A212" s="215"/>
      <c r="B212" s="215"/>
      <c r="C212" s="363"/>
      <c r="D212" s="363"/>
      <c r="E212" s="363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 spans="1:17" ht="15.75" customHeight="1">
      <c r="A213" s="215"/>
      <c r="B213" s="215"/>
      <c r="C213" s="363"/>
      <c r="D213" s="363"/>
      <c r="E213" s="363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 spans="1:17" ht="15.75" customHeight="1">
      <c r="A214" s="215"/>
      <c r="B214" s="215"/>
      <c r="C214" s="363"/>
      <c r="D214" s="363"/>
      <c r="E214" s="363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 spans="1:17" ht="15.75" customHeight="1">
      <c r="A215" s="215"/>
      <c r="B215" s="215"/>
      <c r="C215" s="363"/>
      <c r="D215" s="363"/>
      <c r="E215" s="363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 spans="1:17" ht="15.75" customHeight="1">
      <c r="A216" s="215"/>
      <c r="B216" s="215"/>
      <c r="C216" s="363"/>
      <c r="D216" s="363"/>
      <c r="E216" s="363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 spans="1:17" ht="15.75" customHeight="1">
      <c r="A217" s="215"/>
      <c r="B217" s="215"/>
      <c r="C217" s="363"/>
      <c r="D217" s="363"/>
      <c r="E217" s="363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 spans="1:17" ht="15.75" customHeight="1">
      <c r="A218" s="215"/>
      <c r="B218" s="215"/>
      <c r="C218" s="363"/>
      <c r="D218" s="363"/>
      <c r="E218" s="363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 spans="1:17" ht="15.75" customHeight="1">
      <c r="A219" s="215"/>
      <c r="B219" s="215"/>
      <c r="C219" s="363"/>
      <c r="D219" s="363"/>
      <c r="E219" s="363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 spans="1:17" ht="15.75" customHeight="1">
      <c r="A220" s="215"/>
      <c r="B220" s="215"/>
      <c r="C220" s="363"/>
      <c r="D220" s="363"/>
      <c r="E220" s="363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 spans="1:17" ht="15.75" customHeight="1">
      <c r="A221" s="215"/>
      <c r="B221" s="215"/>
      <c r="C221" s="363"/>
      <c r="D221" s="363"/>
      <c r="E221" s="363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 spans="1:17" ht="15.75" customHeight="1">
      <c r="A222" s="215"/>
      <c r="B222" s="215"/>
      <c r="C222" s="363"/>
      <c r="D222" s="363"/>
      <c r="E222" s="363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 spans="1:17" ht="15.75" customHeight="1">
      <c r="A223" s="215"/>
      <c r="B223" s="215"/>
      <c r="C223" s="363"/>
      <c r="D223" s="363"/>
      <c r="E223" s="363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 spans="1:17" ht="15.75" customHeight="1">
      <c r="A224" s="215"/>
      <c r="B224" s="215"/>
      <c r="C224" s="363"/>
      <c r="D224" s="363"/>
      <c r="E224" s="363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 spans="1:17" ht="15.75" customHeight="1">
      <c r="A225" s="215"/>
      <c r="B225" s="215"/>
      <c r="C225" s="363"/>
      <c r="D225" s="363"/>
      <c r="E225" s="363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 spans="1:17" ht="15.75" customHeight="1">
      <c r="A226" s="215"/>
      <c r="B226" s="215"/>
      <c r="C226" s="363"/>
      <c r="D226" s="363"/>
      <c r="E226" s="363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 spans="1:17" ht="15.75" customHeight="1">
      <c r="A227" s="215"/>
      <c r="B227" s="215"/>
      <c r="C227" s="363"/>
      <c r="D227" s="363"/>
      <c r="E227" s="363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 spans="1:17" ht="15.75" customHeight="1">
      <c r="A228" s="215"/>
      <c r="B228" s="215"/>
      <c r="C228" s="363"/>
      <c r="D228" s="363"/>
      <c r="E228" s="363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 spans="1:17" ht="15.75" customHeight="1">
      <c r="A229" s="215"/>
      <c r="B229" s="215"/>
      <c r="C229" s="363"/>
      <c r="D229" s="363"/>
      <c r="E229" s="363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 spans="1:17" ht="15.75" customHeight="1">
      <c r="A230" s="215"/>
      <c r="B230" s="215"/>
      <c r="C230" s="363"/>
      <c r="D230" s="363"/>
      <c r="E230" s="363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 spans="1:17" ht="15.75" customHeight="1">
      <c r="A231" s="215"/>
      <c r="B231" s="215"/>
      <c r="C231" s="363"/>
      <c r="D231" s="363"/>
      <c r="E231" s="363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1:17" ht="15.75" customHeight="1">
      <c r="A232" s="215"/>
      <c r="B232" s="215"/>
      <c r="C232" s="363"/>
      <c r="D232" s="363"/>
      <c r="E232" s="363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 spans="1:17" ht="15.75" customHeight="1">
      <c r="A233" s="215"/>
      <c r="B233" s="215"/>
      <c r="C233" s="363"/>
      <c r="D233" s="363"/>
      <c r="E233" s="363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 spans="1:17" ht="15.75" customHeight="1">
      <c r="A234" s="215"/>
      <c r="B234" s="215"/>
      <c r="C234" s="363"/>
      <c r="D234" s="363"/>
      <c r="E234" s="363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 spans="1:17" ht="15.75" customHeight="1">
      <c r="A235" s="215"/>
      <c r="B235" s="215"/>
      <c r="C235" s="363"/>
      <c r="D235" s="363"/>
      <c r="E235" s="363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 spans="1:17" ht="15.75" customHeight="1">
      <c r="A236" s="215"/>
      <c r="B236" s="215"/>
      <c r="C236" s="363"/>
      <c r="D236" s="363"/>
      <c r="E236" s="363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 spans="1:17" ht="15.75" customHeight="1">
      <c r="A237" s="215"/>
      <c r="B237" s="215"/>
      <c r="C237" s="363"/>
      <c r="D237" s="363"/>
      <c r="E237" s="363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 spans="1:17" ht="15.75" customHeight="1">
      <c r="A238" s="215"/>
      <c r="B238" s="215"/>
      <c r="C238" s="363"/>
      <c r="D238" s="363"/>
      <c r="E238" s="363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 spans="1:17" ht="15.75" customHeight="1">
      <c r="A239" s="215"/>
      <c r="B239" s="215"/>
      <c r="C239" s="363"/>
      <c r="D239" s="363"/>
      <c r="E239" s="363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 spans="1:17" ht="15.75" customHeight="1">
      <c r="A240" s="215"/>
      <c r="B240" s="215"/>
      <c r="C240" s="363"/>
      <c r="D240" s="363"/>
      <c r="E240" s="363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 spans="1:17" ht="15.75" customHeight="1">
      <c r="A241" s="215"/>
      <c r="B241" s="215"/>
      <c r="C241" s="363"/>
      <c r="D241" s="363"/>
      <c r="E241" s="363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 spans="1:17" ht="15.75" customHeight="1">
      <c r="A242" s="215"/>
      <c r="B242" s="215"/>
      <c r="C242" s="363"/>
      <c r="D242" s="363"/>
      <c r="E242" s="363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 spans="1:17" ht="15.75" customHeight="1">
      <c r="A243" s="215"/>
      <c r="B243" s="215"/>
      <c r="C243" s="363"/>
      <c r="D243" s="363"/>
      <c r="E243" s="363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 spans="1:17" ht="15.75" customHeight="1">
      <c r="A244" s="215"/>
      <c r="B244" s="215"/>
      <c r="C244" s="363"/>
      <c r="D244" s="363"/>
      <c r="E244" s="363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 spans="1:17" ht="15.75" customHeight="1">
      <c r="A245" s="215"/>
      <c r="B245" s="215"/>
      <c r="C245" s="243"/>
      <c r="D245" s="243"/>
      <c r="E245" s="243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7" ht="15.75" customHeight="1">
      <c r="A246" s="215"/>
      <c r="B246" s="215"/>
      <c r="C246" s="243"/>
      <c r="D246" s="243"/>
      <c r="E246" s="243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7" ht="15.75" customHeight="1">
      <c r="A247" s="215"/>
      <c r="B247" s="215"/>
      <c r="C247" s="243"/>
      <c r="D247" s="243"/>
      <c r="E247" s="243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 spans="1:17" ht="15.75" customHeight="1">
      <c r="A248" s="215"/>
      <c r="B248" s="215"/>
      <c r="C248" s="243"/>
      <c r="D248" s="243"/>
      <c r="E248" s="243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 spans="1:17" ht="15.75" customHeight="1">
      <c r="A249" s="215"/>
      <c r="B249" s="215"/>
      <c r="C249" s="243"/>
      <c r="D249" s="243"/>
      <c r="E249" s="243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 spans="1:17" ht="15.75" customHeight="1">
      <c r="A250" s="215"/>
      <c r="B250" s="215"/>
      <c r="C250" s="243"/>
      <c r="D250" s="243"/>
      <c r="E250" s="243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 spans="1:17" ht="15.75" customHeight="1">
      <c r="A251" s="215"/>
      <c r="B251" s="215"/>
      <c r="C251" s="243"/>
      <c r="D251" s="243"/>
      <c r="E251" s="243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1:17" ht="15.75" customHeight="1">
      <c r="A252" s="215"/>
      <c r="B252" s="215"/>
      <c r="C252" s="243"/>
      <c r="D252" s="243"/>
      <c r="E252" s="243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 spans="1:17" ht="15.75" customHeight="1">
      <c r="A253" s="215"/>
      <c r="B253" s="215"/>
      <c r="C253" s="243"/>
      <c r="D253" s="243"/>
      <c r="E253" s="243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 spans="1:17" ht="15.75" customHeight="1">
      <c r="A254" s="215"/>
      <c r="B254" s="215"/>
      <c r="C254" s="243"/>
      <c r="D254" s="243"/>
      <c r="E254" s="243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 spans="1:17" ht="15.75" customHeight="1">
      <c r="A255" s="215"/>
      <c r="B255" s="215"/>
      <c r="C255" s="243"/>
      <c r="D255" s="243"/>
      <c r="E255" s="243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 spans="1:17" ht="15.75" customHeight="1">
      <c r="A256" s="215"/>
      <c r="B256" s="215"/>
      <c r="C256" s="243"/>
      <c r="D256" s="243"/>
      <c r="E256" s="243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 spans="1:17" ht="15.75" customHeight="1">
      <c r="A257" s="215"/>
      <c r="B257" s="215"/>
      <c r="C257" s="243"/>
      <c r="D257" s="243"/>
      <c r="E257" s="243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 spans="1:17" ht="15.75" customHeight="1">
      <c r="A258" s="215"/>
      <c r="B258" s="215"/>
      <c r="C258" s="243"/>
      <c r="D258" s="243"/>
      <c r="E258" s="243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 spans="1:17" ht="15.75" customHeight="1">
      <c r="A259" s="215"/>
      <c r="B259" s="215"/>
      <c r="C259" s="243"/>
      <c r="D259" s="243"/>
      <c r="E259" s="243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 spans="1:17" ht="15.75" customHeight="1">
      <c r="A260" s="215"/>
      <c r="B260" s="215"/>
      <c r="C260" s="243"/>
      <c r="D260" s="243"/>
      <c r="E260" s="243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 spans="1:17" ht="15.75" customHeight="1">
      <c r="A261" s="215"/>
      <c r="B261" s="215"/>
      <c r="C261" s="243"/>
      <c r="D261" s="243"/>
      <c r="E261" s="243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 spans="1:17" ht="15.75" customHeight="1">
      <c r="A262" s="215"/>
      <c r="B262" s="215"/>
      <c r="C262" s="243"/>
      <c r="D262" s="243"/>
      <c r="E262" s="243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 spans="1:17" ht="15.75" customHeight="1">
      <c r="A263" s="215"/>
      <c r="B263" s="215"/>
      <c r="C263" s="243"/>
      <c r="D263" s="243"/>
      <c r="E263" s="243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7" ht="15.75" customHeight="1">
      <c r="A264" s="215"/>
      <c r="B264" s="215"/>
      <c r="C264" s="243"/>
      <c r="D264" s="243"/>
      <c r="E264" s="243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7" ht="15.75" customHeight="1">
      <c r="A265" s="215"/>
      <c r="B265" s="215"/>
      <c r="C265" s="243"/>
      <c r="D265" s="243"/>
      <c r="E265" s="243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 spans="1:17" ht="15.75" customHeight="1">
      <c r="A266" s="215"/>
      <c r="B266" s="215"/>
      <c r="C266" s="243"/>
      <c r="D266" s="243"/>
      <c r="E266" s="243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 spans="1:17" ht="15.75" customHeight="1">
      <c r="A267" s="215"/>
      <c r="B267" s="215"/>
      <c r="C267" s="243"/>
      <c r="D267" s="243"/>
      <c r="E267" s="243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 spans="1:17" ht="15.75" customHeight="1">
      <c r="A268" s="215"/>
      <c r="B268" s="215"/>
      <c r="C268" s="243"/>
      <c r="D268" s="243"/>
      <c r="E268" s="243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 spans="1:17" ht="15.75" customHeight="1">
      <c r="A269" s="215"/>
      <c r="B269" s="215"/>
      <c r="C269" s="243"/>
      <c r="D269" s="243"/>
      <c r="E269" s="243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 spans="1:17" ht="15.75" customHeight="1">
      <c r="A270" s="215"/>
      <c r="B270" s="215"/>
      <c r="C270" s="243"/>
      <c r="D270" s="243"/>
      <c r="E270" s="243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 spans="1:17" ht="15.75" customHeight="1">
      <c r="A271" s="215"/>
      <c r="B271" s="215"/>
      <c r="C271" s="243"/>
      <c r="D271" s="243"/>
      <c r="E271" s="243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1:17" ht="15.75" customHeight="1">
      <c r="A272" s="215"/>
      <c r="B272" s="215"/>
      <c r="C272" s="243"/>
      <c r="D272" s="243"/>
      <c r="E272" s="243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 spans="1:17" ht="15.75" customHeight="1">
      <c r="A273" s="215"/>
      <c r="B273" s="215"/>
      <c r="C273" s="243"/>
      <c r="D273" s="243"/>
      <c r="E273" s="243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 spans="1:17" ht="15.75" customHeight="1">
      <c r="A274" s="215"/>
      <c r="B274" s="215"/>
      <c r="C274" s="243"/>
      <c r="D274" s="243"/>
      <c r="E274" s="243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 spans="1:17" ht="15.75" customHeight="1">
      <c r="A275" s="215"/>
      <c r="B275" s="215"/>
      <c r="C275" s="243"/>
      <c r="D275" s="243"/>
      <c r="E275" s="243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 spans="1:17" ht="15.75" customHeight="1">
      <c r="A276" s="215"/>
      <c r="B276" s="215"/>
      <c r="C276" s="243"/>
      <c r="D276" s="243"/>
      <c r="E276" s="243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 spans="1:17" ht="15.75" customHeight="1">
      <c r="A277" s="215"/>
      <c r="B277" s="215"/>
      <c r="C277" s="243"/>
      <c r="D277" s="243"/>
      <c r="E277" s="243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 spans="1:17" ht="15.75" customHeight="1">
      <c r="A278" s="215"/>
      <c r="B278" s="215"/>
      <c r="C278" s="243"/>
      <c r="D278" s="243"/>
      <c r="E278" s="243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 spans="1:17" ht="15.75" customHeight="1">
      <c r="A279" s="215"/>
      <c r="B279" s="215"/>
      <c r="C279" s="243"/>
      <c r="D279" s="243"/>
      <c r="E279" s="243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 spans="1:17" ht="15.75" customHeight="1">
      <c r="A984" s="215"/>
      <c r="B984" s="215"/>
      <c r="C984" s="243"/>
      <c r="D984" s="243"/>
      <c r="E984" s="243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 spans="1:17" ht="15.75" customHeight="1">
      <c r="A985" s="215"/>
      <c r="B985" s="215"/>
      <c r="C985" s="243"/>
      <c r="D985" s="243"/>
      <c r="E985" s="243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 spans="1:17" ht="15.75" customHeight="1">
      <c r="A986" s="215"/>
      <c r="B986" s="215"/>
      <c r="C986" s="243"/>
      <c r="D986" s="243"/>
      <c r="E986" s="243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 spans="1:17" ht="15.75" customHeight="1">
      <c r="A987" s="215"/>
      <c r="B987" s="215"/>
      <c r="C987" s="243"/>
      <c r="D987" s="243"/>
      <c r="E987" s="243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44" bestFit="1" customWidth="1"/>
    <col min="7" max="7" width="11.8984375" style="244" customWidth="1"/>
    <col min="8" max="8" width="8.5" style="244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customWidth="1"/>
    <col min="18" max="18" width="10" style="216" bestFit="1" customWidth="1"/>
    <col min="19" max="19" width="11.09765625" style="216" bestFit="1" customWidth="1"/>
    <col min="20" max="20" width="8.69921875" style="216" customWidth="1"/>
    <col min="21" max="16384" width="11.19921875" style="216"/>
  </cols>
  <sheetData>
    <row r="1" spans="1:29" ht="20.25" customHeight="1">
      <c r="A1" s="208" t="s">
        <v>4112</v>
      </c>
      <c r="B1" s="209" t="s">
        <v>49</v>
      </c>
      <c r="C1" s="210">
        <f>COUNTA(I8:I200)</f>
        <v>35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26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  <c r="U1" s="254"/>
      <c r="V1" s="254"/>
      <c r="W1" s="254"/>
      <c r="X1" s="255" t="s">
        <v>4134</v>
      </c>
      <c r="Y1" s="255" t="s">
        <v>4135</v>
      </c>
      <c r="Z1" s="255" t="s">
        <v>4136</v>
      </c>
      <c r="AA1" s="255" t="s">
        <v>4137</v>
      </c>
      <c r="AB1" s="255" t="s">
        <v>4138</v>
      </c>
      <c r="AC1" s="255" t="s">
        <v>4139</v>
      </c>
    </row>
    <row r="2" spans="1:29" ht="21" customHeight="1">
      <c r="A2" s="230"/>
      <c r="B2" s="218" t="s">
        <v>4110</v>
      </c>
      <c r="C2" s="219">
        <v>12</v>
      </c>
      <c r="D2" s="220">
        <v>12</v>
      </c>
      <c r="E2" s="239">
        <v>11</v>
      </c>
      <c r="F2" s="240">
        <f t="shared" ref="F2" si="0">SUM(C2:E2)</f>
        <v>35</v>
      </c>
      <c r="G2" s="240"/>
      <c r="H2" s="285" t="s">
        <v>4459</v>
      </c>
      <c r="I2" s="219">
        <f>COUNTIF(G:G,"已更換")</f>
        <v>4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  <c r="U2" s="256" t="s">
        <v>4140</v>
      </c>
      <c r="V2" s="256" t="s">
        <v>4141</v>
      </c>
      <c r="W2" s="256" t="s">
        <v>4142</v>
      </c>
      <c r="X2" s="256" t="s">
        <v>4143</v>
      </c>
      <c r="Y2" s="256" t="s">
        <v>4144</v>
      </c>
      <c r="Z2" s="256" t="s">
        <v>4145</v>
      </c>
      <c r="AA2" s="256" t="s">
        <v>4146</v>
      </c>
      <c r="AB2" s="256" t="s">
        <v>4140</v>
      </c>
      <c r="AC2" s="256" t="s">
        <v>4141</v>
      </c>
    </row>
    <row r="3" spans="1:29" ht="21" customHeight="1">
      <c r="A3" s="230"/>
      <c r="B3" s="218" t="s">
        <v>4111</v>
      </c>
      <c r="C3" s="219">
        <v>0</v>
      </c>
      <c r="D3" s="220">
        <f>C2-C4</f>
        <v>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  <c r="U3" s="257">
        <v>45682</v>
      </c>
      <c r="V3" s="257">
        <v>45683</v>
      </c>
      <c r="W3" s="257">
        <v>45684</v>
      </c>
      <c r="X3" s="257">
        <v>45685</v>
      </c>
      <c r="Y3" s="257">
        <v>45686</v>
      </c>
      <c r="Z3" s="257">
        <v>45687</v>
      </c>
      <c r="AA3" s="257">
        <v>45688</v>
      </c>
      <c r="AB3" s="257">
        <v>45689</v>
      </c>
      <c r="AC3" s="257">
        <v>45690</v>
      </c>
    </row>
    <row r="4" spans="1:29" ht="21" customHeight="1">
      <c r="A4" s="224"/>
      <c r="B4" s="218" t="s">
        <v>50</v>
      </c>
      <c r="C4" s="225">
        <f>COUNTIF(C$8:C$193,"v")</f>
        <v>4</v>
      </c>
      <c r="D4" s="226">
        <f>COUNTIF(D$8:D$193,"v")</f>
        <v>0</v>
      </c>
      <c r="E4" s="226">
        <f>COUNTIF(E$8:E$193,"v")</f>
        <v>0</v>
      </c>
      <c r="F4" s="221">
        <f t="shared" ref="F4" si="1">SUM(C4:E4)</f>
        <v>4</v>
      </c>
      <c r="G4" s="240"/>
      <c r="H4" s="285" t="s">
        <v>4461</v>
      </c>
      <c r="I4" s="288">
        <f>I2/I1</f>
        <v>0.15384615384615385</v>
      </c>
      <c r="J4" s="223"/>
      <c r="K4" s="214"/>
      <c r="L4" s="214"/>
      <c r="M4" s="214"/>
      <c r="N4" s="214"/>
      <c r="O4" s="214"/>
      <c r="P4" s="215"/>
      <c r="Q4" s="215"/>
      <c r="U4" s="258" t="s">
        <v>4147</v>
      </c>
      <c r="V4" s="258" t="s">
        <v>4147</v>
      </c>
      <c r="W4" s="258" t="s">
        <v>4147</v>
      </c>
      <c r="X4" s="258" t="s">
        <v>4148</v>
      </c>
      <c r="Y4" s="258" t="s">
        <v>4148</v>
      </c>
      <c r="Z4" s="258" t="s">
        <v>4148</v>
      </c>
      <c r="AA4" s="258" t="s">
        <v>4149</v>
      </c>
      <c r="AB4" s="258" t="s">
        <v>4149</v>
      </c>
      <c r="AC4" s="258" t="s">
        <v>4149</v>
      </c>
    </row>
    <row r="5" spans="1:29" ht="22.5" customHeight="1">
      <c r="A5" s="224"/>
      <c r="B5" s="218" t="s">
        <v>51</v>
      </c>
      <c r="C5" s="227">
        <f>MAX(C2-C4,0)</f>
        <v>8</v>
      </c>
      <c r="D5" s="228">
        <f>MAX(C2+D2-C4-D4,0)</f>
        <v>20</v>
      </c>
      <c r="E5" s="228">
        <f>MAX(C2+D2+E2-C4-D4-E4,0)</f>
        <v>31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29" ht="23.25" customHeight="1">
      <c r="A6" s="241"/>
      <c r="B6" s="329" t="s">
        <v>53</v>
      </c>
      <c r="C6" s="330">
        <f>C4/C2</f>
        <v>0.33333333333333331</v>
      </c>
      <c r="D6" s="331">
        <f>D4/(D2+D3)</f>
        <v>0</v>
      </c>
      <c r="E6" s="331">
        <f>E4/(E2+E3)</f>
        <v>0</v>
      </c>
      <c r="F6" s="332">
        <f>COUNTIFS(F8:F193,"未保養",J8:J193,"&lt;&gt;不保養")</f>
        <v>31</v>
      </c>
      <c r="G6" s="332"/>
      <c r="H6" s="332"/>
      <c r="I6" s="333"/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29" ht="25.5" customHeight="1">
      <c r="A7" s="235" t="s">
        <v>0</v>
      </c>
      <c r="B7" s="235" t="s">
        <v>1</v>
      </c>
      <c r="C7" s="235" t="s">
        <v>5067</v>
      </c>
      <c r="D7" s="235" t="s">
        <v>5068</v>
      </c>
      <c r="E7" s="235" t="s">
        <v>5069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43"/>
      <c r="L7" s="243"/>
      <c r="M7" s="243"/>
      <c r="N7" s="243"/>
      <c r="O7" s="243"/>
      <c r="P7" s="215"/>
      <c r="Q7" s="215"/>
    </row>
    <row r="8" spans="1:29" ht="21.6" customHeight="1">
      <c r="A8" s="237">
        <v>3977</v>
      </c>
      <c r="B8" s="237" t="str">
        <f>VLOOKUP(A8,門市主檔!A:B,2,FALSE)</f>
        <v>板橋玉川店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42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無專案</v>
      </c>
      <c r="H8" s="343">
        <f>VLOOKUP(A8,門市主檔!A:U,21,FALSE)</f>
        <v>0</v>
      </c>
      <c r="I8" s="237" t="str">
        <f>VLOOKUP(A8,'0919門市清單主檔'!B:V,21,FALSE)</f>
        <v>板橋區</v>
      </c>
      <c r="J8" s="249">
        <v>45664.631944444445</v>
      </c>
      <c r="K8" s="215"/>
      <c r="L8" s="215"/>
      <c r="M8" s="215"/>
      <c r="N8" s="215"/>
      <c r="O8" s="215"/>
      <c r="P8" s="215" t="s">
        <v>55</v>
      </c>
      <c r="Q8" s="215"/>
    </row>
    <row r="9" spans="1:29" ht="21.6" customHeight="1">
      <c r="A9" s="237">
        <v>4983</v>
      </c>
      <c r="B9" s="237" t="str">
        <f>VLOOKUP(A9,門市主檔!A:B,2,FALSE)</f>
        <v>板橋藝文店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無專案</v>
      </c>
      <c r="H9" s="343">
        <f>VLOOKUP(A9,門市主檔!A:U,21,FALSE)</f>
        <v>0</v>
      </c>
      <c r="I9" s="237" t="str">
        <f>VLOOKUP(A9,'0919門市清單主檔'!B:V,21,FALSE)</f>
        <v>板橋區</v>
      </c>
      <c r="J9" s="249">
        <v>45670.677083333336</v>
      </c>
      <c r="K9" s="215"/>
      <c r="L9" s="215"/>
      <c r="M9" s="215"/>
      <c r="N9" s="215"/>
      <c r="O9" s="215"/>
      <c r="P9" s="215" t="s">
        <v>55</v>
      </c>
      <c r="Q9" s="215"/>
    </row>
    <row r="10" spans="1:29" ht="21.6" customHeight="1">
      <c r="A10" s="237">
        <v>4680</v>
      </c>
      <c r="B10" s="237" t="str">
        <f>VLOOKUP(A10,門市主檔!A:B,2,FALSE)</f>
        <v>板橋江寧店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板橋區</v>
      </c>
      <c r="J10" s="249">
        <v>45670.697916666664</v>
      </c>
      <c r="K10" s="215"/>
      <c r="L10" s="215"/>
      <c r="M10" s="215"/>
      <c r="N10" s="215"/>
      <c r="O10" s="215"/>
      <c r="P10" s="215" t="s">
        <v>55</v>
      </c>
      <c r="Q10" s="215"/>
    </row>
    <row r="11" spans="1:29" ht="21.6" customHeight="1">
      <c r="A11" s="237">
        <v>3853</v>
      </c>
      <c r="B11" s="237" t="str">
        <f>VLOOKUP(A11,門市主檔!A:B,2,FALSE)</f>
        <v>板橋互助店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無專案</v>
      </c>
      <c r="H11" s="343">
        <f>VLOOKUP(A11,門市主檔!A:U,21,FALSE)</f>
        <v>0</v>
      </c>
      <c r="I11" s="237" t="str">
        <f>VLOOKUP(A11,'0919門市清單主檔'!B:V,21,FALSE)</f>
        <v>板橋區</v>
      </c>
      <c r="J11" s="249">
        <v>45677.679166666669</v>
      </c>
      <c r="K11" s="215"/>
      <c r="L11" s="215"/>
      <c r="M11" s="215"/>
      <c r="N11" s="215"/>
      <c r="O11" s="215"/>
      <c r="P11" s="215" t="s">
        <v>55</v>
      </c>
      <c r="Q11" s="215"/>
    </row>
    <row r="12" spans="1:29" ht="21.6" customHeight="1">
      <c r="A12" s="237">
        <v>4406</v>
      </c>
      <c r="B12" s="237" t="str">
        <f>VLOOKUP(A12,門市主檔!A:B,2,FALSE)</f>
        <v>板橋稚暉店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板橋區</v>
      </c>
      <c r="J12" s="249">
        <v>45681.663194444445</v>
      </c>
      <c r="K12" s="215"/>
      <c r="L12" s="215"/>
      <c r="M12" s="215"/>
      <c r="N12" s="215"/>
      <c r="O12" s="215"/>
      <c r="P12" s="215" t="s">
        <v>55</v>
      </c>
      <c r="Q12" s="215"/>
    </row>
    <row r="13" spans="1:29" ht="21.6" customHeight="1">
      <c r="A13" s="237">
        <v>2154</v>
      </c>
      <c r="B13" s="237" t="str">
        <f>VLOOKUP(A13,門市主檔!A:B,2,FALSE)</f>
        <v>北縣板莊店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無專案</v>
      </c>
      <c r="H13" s="343">
        <f>VLOOKUP(A13,門市主檔!A:U,21,FALSE)</f>
        <v>0</v>
      </c>
      <c r="I13" s="237" t="str">
        <f>VLOOKUP(A13,'0919門市清單主檔'!B:V,21,FALSE)</f>
        <v>板橋區</v>
      </c>
      <c r="J13" s="249">
        <v>45742.511111111111</v>
      </c>
      <c r="K13" s="215"/>
      <c r="L13" s="215"/>
      <c r="M13" s="215"/>
      <c r="N13" s="215"/>
      <c r="O13" s="215"/>
      <c r="P13" s="215" t="s">
        <v>55</v>
      </c>
      <c r="Q13" s="215"/>
    </row>
    <row r="14" spans="1:29" ht="21.6" customHeight="1">
      <c r="A14" s="237" t="s">
        <v>32</v>
      </c>
      <c r="B14" s="237" t="str">
        <f>VLOOKUP(A14,門市主檔!A:B,2,FALSE)</f>
        <v>板橋成都店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無專案</v>
      </c>
      <c r="H14" s="343">
        <f>VLOOKUP(A14,門市主檔!A:U,21,FALSE)</f>
        <v>0</v>
      </c>
      <c r="I14" s="237" t="str">
        <f>VLOOKUP(A14,'0919門市清單主檔'!B:V,21,FALSE)</f>
        <v>板橋區</v>
      </c>
      <c r="J14" s="249">
        <v>45742.568749999999</v>
      </c>
      <c r="K14" s="215"/>
      <c r="L14" s="215"/>
      <c r="M14" s="215"/>
      <c r="N14" s="215"/>
      <c r="O14" s="215"/>
      <c r="P14" s="215" t="s">
        <v>55</v>
      </c>
      <c r="Q14" s="215"/>
    </row>
    <row r="15" spans="1:29" ht="21.6" customHeight="1">
      <c r="A15" s="237" t="s">
        <v>35</v>
      </c>
      <c r="B15" s="237" t="str">
        <f>VLOOKUP(A15,門市主檔!A:B,2,FALSE)</f>
        <v>車麗屋板橋店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板橋區</v>
      </c>
      <c r="J15" s="249">
        <v>45743.465277777781</v>
      </c>
      <c r="K15" s="215"/>
      <c r="L15" s="215"/>
      <c r="M15" s="215"/>
      <c r="N15" s="215"/>
      <c r="O15" s="215"/>
      <c r="P15" s="215" t="s">
        <v>55</v>
      </c>
      <c r="Q15" s="215"/>
    </row>
    <row r="16" spans="1:29" ht="21.6" customHeight="1">
      <c r="A16" s="237">
        <v>4422</v>
      </c>
      <c r="B16" s="237" t="str">
        <f>VLOOKUP(A16,門市主檔!A:B,2,FALSE)</f>
        <v>板橋合安店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板橋區</v>
      </c>
      <c r="J16" s="249">
        <v>45743.484722222223</v>
      </c>
      <c r="K16" s="215"/>
      <c r="L16" s="215"/>
      <c r="M16" s="215"/>
      <c r="N16" s="215"/>
      <c r="O16" s="215"/>
      <c r="P16" s="215" t="s">
        <v>55</v>
      </c>
      <c r="Q16" s="215"/>
    </row>
    <row r="17" spans="1:17" ht="21.6" customHeight="1">
      <c r="A17" s="237">
        <v>3818</v>
      </c>
      <c r="B17" s="237" t="str">
        <f>VLOOKUP(A17,門市主檔!A:B,2,FALSE)</f>
        <v>板橋漢江店</v>
      </c>
      <c r="C17" s="359" t="str">
        <f>IF(COUNTIFS(IM!$F:$F,A17,IM!$AD:$AD,"O",IM!$X:$X,"&gt;="&amp;$R$1, IM!$X:$X,"&lt;="&amp;$S$1)&gt;0,"V","")</f>
        <v>V</v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2"/>
        <v/>
      </c>
      <c r="G17" s="237" t="str">
        <f>IF(AND(VLOOKUP(A17,門市主檔!A:Y,25,FALSE)="STAR", VLOOKUP(A17,門市主檔!A:N,14,FALSE)=""), "未更換", IF(VLOOKUP(A17,門市主檔!A:Y,25,FALSE)&lt;&gt;"STAR", "無專案", "已更換"))</f>
        <v>已更換</v>
      </c>
      <c r="H17" s="343">
        <f>VLOOKUP(A17,門市主檔!A:U,21,FALSE)</f>
        <v>1</v>
      </c>
      <c r="I17" s="237" t="str">
        <f>VLOOKUP(A17,'0919門市清單主檔'!B:V,21,FALSE)</f>
        <v>板橋區</v>
      </c>
      <c r="J17" s="249">
        <v>45667.75</v>
      </c>
      <c r="K17" s="215"/>
      <c r="L17" s="215"/>
      <c r="M17" s="215"/>
      <c r="N17" s="215"/>
      <c r="O17" s="215"/>
      <c r="P17" s="215" t="s">
        <v>55</v>
      </c>
      <c r="Q17" s="215"/>
    </row>
    <row r="18" spans="1:17" ht="21.6" customHeight="1">
      <c r="A18" s="237">
        <v>3147</v>
      </c>
      <c r="B18" s="237" t="str">
        <f>VLOOKUP(A18,門市主檔!A:B,2,FALSE)</f>
        <v>北縣板明店</v>
      </c>
      <c r="C18" s="359" t="str">
        <f>IF(COUNTIFS(IM!$F:$F,A18,IM!$AD:$AD,"O",IM!$X:$X,"&gt;="&amp;$R$1, IM!$X:$X,"&lt;="&amp;$S$1)&gt;0,"V","")</f>
        <v>V</v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2"/>
        <v/>
      </c>
      <c r="G18" s="237" t="str">
        <f>IF(AND(VLOOKUP(A18,門市主檔!A:Y,25,FALSE)="STAR", VLOOKUP(A18,門市主檔!A:N,14,FALSE)=""), "未更換", IF(VLOOKUP(A18,門市主檔!A:Y,25,FALSE)&lt;&gt;"STAR", "無專案", "已更換"))</f>
        <v>已更換</v>
      </c>
      <c r="H18" s="343">
        <f>VLOOKUP(A18,門市主檔!A:U,21,FALSE)</f>
        <v>1</v>
      </c>
      <c r="I18" s="237" t="str">
        <f>VLOOKUP(A18,'0919門市清單主檔'!B:V,21,FALSE)</f>
        <v>板橋區</v>
      </c>
      <c r="J18" s="249">
        <v>45692.482638888891</v>
      </c>
      <c r="K18" s="215"/>
      <c r="L18" s="215"/>
      <c r="M18" s="215"/>
      <c r="N18" s="215"/>
      <c r="O18" s="215"/>
      <c r="P18" s="215" t="s">
        <v>55</v>
      </c>
      <c r="Q18" s="215"/>
    </row>
    <row r="19" spans="1:17" ht="21.6" customHeight="1">
      <c r="A19" s="237" t="s">
        <v>29</v>
      </c>
      <c r="B19" s="237" t="str">
        <f>VLOOKUP(A19,門市主檔!A:B,2,FALSE)</f>
        <v>北縣僑福店</v>
      </c>
      <c r="C19" s="359" t="str">
        <f>IF(COUNTIFS(IM!$F:$F,A19,IM!$AD:$AD,"O",IM!$X:$X,"&gt;="&amp;$R$1, IM!$X:$X,"&lt;="&amp;$S$1)&gt;0,"V","")</f>
        <v>V</v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2"/>
        <v/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1</v>
      </c>
      <c r="I19" s="237" t="str">
        <f>VLOOKUP(A19,'0919門市清單主檔'!B:V,21,FALSE)</f>
        <v>板橋區</v>
      </c>
      <c r="J19" s="249">
        <v>45723.647222222222</v>
      </c>
      <c r="K19" s="215"/>
      <c r="L19" s="215"/>
      <c r="M19" s="215"/>
      <c r="N19" s="215"/>
      <c r="O19" s="215"/>
      <c r="P19" s="215" t="s">
        <v>55</v>
      </c>
      <c r="Q19" s="215"/>
    </row>
    <row r="20" spans="1:17" ht="21.6" customHeight="1">
      <c r="A20" s="237">
        <v>2221</v>
      </c>
      <c r="B20" s="237" t="str">
        <f>VLOOKUP(A20,門市主檔!A:B,2,FALSE)</f>
        <v>板橋雙十店</v>
      </c>
      <c r="C20" s="359" t="str">
        <f>IF(COUNTIFS(IM!$F:$F,A20,IM!$AD:$AD,"O",IM!$X:$X,"&gt;="&amp;$R$1, IM!$X:$X,"&lt;="&amp;$S$1)&gt;0,"V","")</f>
        <v>V</v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/>
      </c>
      <c r="G20" s="237" t="str">
        <f>IF(AND(VLOOKUP(A20,門市主檔!A:Y,25,FALSE)="STAR", VLOOKUP(A20,門市主檔!A:N,14,FALSE)=""), "未更換", IF(VLOOKUP(A20,門市主檔!A:Y,25,FALSE)&lt;&gt;"STAR", "無專案", "已更換"))</f>
        <v>已更換</v>
      </c>
      <c r="H20" s="343">
        <f>VLOOKUP(A20,門市主檔!A:U,21,FALSE)</f>
        <v>1</v>
      </c>
      <c r="I20" s="237" t="str">
        <f>VLOOKUP(A20,'0919門市清單主檔'!B:V,21,FALSE)</f>
        <v>板橋區</v>
      </c>
      <c r="J20" s="249">
        <v>45728.498611111114</v>
      </c>
      <c r="K20" s="215"/>
      <c r="L20" s="215"/>
      <c r="M20" s="215"/>
      <c r="N20" s="215"/>
      <c r="O20" s="215"/>
      <c r="P20" s="215" t="s">
        <v>55</v>
      </c>
      <c r="Q20" s="215"/>
    </row>
    <row r="21" spans="1:17" ht="21.6" customHeight="1">
      <c r="A21" s="237">
        <v>4917</v>
      </c>
      <c r="B21" s="237" t="str">
        <f>VLOOKUP(A21,門市主檔!A:B,2,FALSE)</f>
        <v>板橋翠華店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板橋區</v>
      </c>
      <c r="J21" s="249">
        <v>45743.452777777777</v>
      </c>
      <c r="K21" s="215"/>
      <c r="L21" s="215"/>
      <c r="M21" s="215"/>
      <c r="N21" s="215"/>
      <c r="O21" s="215"/>
      <c r="P21" s="215" t="s">
        <v>55</v>
      </c>
      <c r="Q21" s="215"/>
    </row>
    <row r="22" spans="1:17" ht="21.6" customHeight="1">
      <c r="A22" s="237" t="s">
        <v>34</v>
      </c>
      <c r="B22" s="237" t="str">
        <f>VLOOKUP(A22,門市主檔!A:B,2,FALSE)</f>
        <v>板橋寶翠店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板橋區</v>
      </c>
      <c r="J22" s="249">
        <v>45663.586805555555</v>
      </c>
      <c r="K22" s="215"/>
      <c r="L22" s="215"/>
      <c r="M22" s="215"/>
      <c r="N22" s="215"/>
      <c r="O22" s="215"/>
      <c r="P22" s="215" t="s">
        <v>55</v>
      </c>
      <c r="Q22" s="215"/>
    </row>
    <row r="23" spans="1:17" ht="21.6" customHeight="1">
      <c r="A23" s="237">
        <v>3183</v>
      </c>
      <c r="B23" s="237" t="str">
        <f>VLOOKUP(A23,門市主檔!A:B,2,FALSE)</f>
        <v>北縣板好店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板橋區</v>
      </c>
      <c r="J23" s="249">
        <v>45698.604166666664</v>
      </c>
      <c r="K23" s="215"/>
      <c r="L23" s="215"/>
      <c r="M23" s="215"/>
      <c r="N23" s="215"/>
      <c r="O23" s="215"/>
      <c r="P23" s="215" t="s">
        <v>55</v>
      </c>
      <c r="Q23" s="215"/>
    </row>
    <row r="24" spans="1:17" ht="21.6" customHeight="1">
      <c r="A24" s="237">
        <v>4167</v>
      </c>
      <c r="B24" s="237" t="str">
        <f>VLOOKUP(A24,門市主檔!A:B,2,FALSE)</f>
        <v>板橋松翠店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板橋區</v>
      </c>
      <c r="J24" s="249">
        <v>45698.701388888891</v>
      </c>
      <c r="K24" s="215"/>
      <c r="L24" s="215"/>
      <c r="M24" s="215"/>
      <c r="N24" s="215"/>
      <c r="O24" s="215"/>
      <c r="P24" s="215" t="s">
        <v>55</v>
      </c>
      <c r="Q24" s="215"/>
    </row>
    <row r="25" spans="1:17" ht="21.6" customHeight="1">
      <c r="A25" s="237">
        <v>2069</v>
      </c>
      <c r="B25" s="237" t="str">
        <f>VLOOKUP(A25,門市主檔!A:B,2,FALSE)</f>
        <v>板橋江子翠站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板橋區</v>
      </c>
      <c r="J25" s="249">
        <v>45714.642361111109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17" ht="21.6" customHeight="1">
      <c r="A26" s="237">
        <v>3965</v>
      </c>
      <c r="B26" s="237" t="str">
        <f>VLOOKUP(A26,門市主檔!A:B,2,FALSE)</f>
        <v>板橋民治店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板橋區</v>
      </c>
      <c r="J26" s="249">
        <v>45727.474999999999</v>
      </c>
      <c r="K26" s="215"/>
      <c r="L26" s="215"/>
      <c r="M26" s="215"/>
      <c r="N26" s="215"/>
      <c r="O26" s="215"/>
      <c r="P26" s="215" t="s">
        <v>55</v>
      </c>
      <c r="Q26" s="215"/>
    </row>
    <row r="27" spans="1:17" ht="21.6" customHeight="1">
      <c r="A27" s="237">
        <v>2746</v>
      </c>
      <c r="B27" s="237" t="str">
        <f>VLOOKUP(A27,門市主檔!A:B,2,FALSE)</f>
        <v>北縣板嘉店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板橋區</v>
      </c>
      <c r="J27" s="249">
        <v>45728.517361111109</v>
      </c>
      <c r="K27" s="215"/>
      <c r="L27" s="215"/>
      <c r="M27" s="215"/>
      <c r="N27" s="215"/>
      <c r="O27" s="215"/>
      <c r="P27" s="215" t="s">
        <v>55</v>
      </c>
      <c r="Q27" s="215"/>
    </row>
    <row r="28" spans="1:17" ht="21.6" customHeight="1">
      <c r="A28" s="237">
        <v>2995</v>
      </c>
      <c r="B28" s="237" t="str">
        <f>VLOOKUP(A28,門市主檔!A:B,2,FALSE)</f>
        <v>板橋湳雅夜市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板橋區</v>
      </c>
      <c r="J28" s="249">
        <v>45733.637499999997</v>
      </c>
      <c r="K28" s="215"/>
      <c r="L28" s="215"/>
      <c r="M28" s="215"/>
      <c r="N28" s="215"/>
      <c r="O28" s="215"/>
      <c r="P28" s="215" t="s">
        <v>55</v>
      </c>
      <c r="Q28" s="215"/>
    </row>
    <row r="29" spans="1:17" ht="21.6" customHeight="1">
      <c r="A29" s="237">
        <v>2224</v>
      </c>
      <c r="B29" s="237" t="str">
        <f>VLOOKUP(A29,門市主檔!A:B,2,FALSE)</f>
        <v>板橋莒光店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板橋區</v>
      </c>
      <c r="J29" s="249">
        <v>45733.694444444445</v>
      </c>
      <c r="K29" s="215"/>
      <c r="L29" s="215"/>
      <c r="M29" s="215"/>
      <c r="N29" s="215"/>
      <c r="O29" s="215"/>
      <c r="P29" s="215" t="s">
        <v>55</v>
      </c>
      <c r="Q29" s="215"/>
    </row>
    <row r="30" spans="1:17" ht="21.6" customHeight="1">
      <c r="A30" s="237">
        <v>4046</v>
      </c>
      <c r="B30" s="237" t="str">
        <f>VLOOKUP(A30,門市主檔!A:B,2,FALSE)</f>
        <v>板橋福康店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2</v>
      </c>
      <c r="I30" s="237" t="str">
        <f>VLOOKUP(A30,'0919門市清單主檔'!B:V,21,FALSE)</f>
        <v>板橋區</v>
      </c>
      <c r="J30" s="249">
        <v>45736.618055555555</v>
      </c>
      <c r="K30" s="215"/>
      <c r="L30" s="215"/>
      <c r="M30" s="215"/>
      <c r="N30" s="215"/>
      <c r="O30" s="215"/>
      <c r="P30" s="215" t="s">
        <v>55</v>
      </c>
      <c r="Q30" s="215"/>
    </row>
    <row r="31" spans="1:17" ht="21.6" customHeight="1">
      <c r="A31" s="237" t="s">
        <v>31</v>
      </c>
      <c r="B31" s="237" t="str">
        <f>VLOOKUP(A31,門市主檔!A:B,2,FALSE)</f>
        <v>北縣僑中三店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2</v>
      </c>
      <c r="I31" s="237" t="str">
        <f>VLOOKUP(A31,'0919門市清單主檔'!B:V,21,FALSE)</f>
        <v>板橋區</v>
      </c>
      <c r="J31" s="249">
        <v>45736.635416666664</v>
      </c>
      <c r="K31" s="215"/>
      <c r="L31" s="215"/>
      <c r="M31" s="215"/>
      <c r="N31" s="215"/>
      <c r="O31" s="215"/>
      <c r="P31" s="215" t="s">
        <v>55</v>
      </c>
      <c r="Q31" s="215"/>
    </row>
    <row r="32" spans="1:17" ht="21.6" customHeight="1">
      <c r="A32" s="237">
        <v>4145</v>
      </c>
      <c r="B32" s="237" t="str">
        <f>VLOOKUP(A32,門市主檔!A:B,2,FALSE)</f>
        <v>板橋僑興店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板橋區</v>
      </c>
      <c r="J32" s="249">
        <v>45736.658333333333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2403</v>
      </c>
      <c r="B33" s="237" t="str">
        <f>VLOOKUP(A33,門市主檔!A:B,2,FALSE)</f>
        <v>北縣板龍店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板橋區</v>
      </c>
      <c r="J33" s="249">
        <v>45736.67083333333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 t="s">
        <v>33</v>
      </c>
      <c r="B34" s="237" t="str">
        <f>VLOOKUP(A34,門市主檔!A:B,2,FALSE)</f>
        <v>板橋大興店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板橋區</v>
      </c>
      <c r="J34" s="249">
        <v>45736.682638888888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3955</v>
      </c>
      <c r="B35" s="237" t="str">
        <f>VLOOKUP(A35,門市主檔!A:B,2,FALSE)</f>
        <v>板橋海龍店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板橋區</v>
      </c>
      <c r="J35" s="249">
        <v>45737.600694444445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3962</v>
      </c>
      <c r="B36" s="237" t="str">
        <f>VLOOKUP(A36,門市主檔!A:B,2,FALSE)</f>
        <v>板橋仁化店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板橋區</v>
      </c>
      <c r="J36" s="249">
        <v>45742.477777777778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3399</v>
      </c>
      <c r="B37" s="237" t="str">
        <f>VLOOKUP(A37,門市主檔!A:B,2,FALSE)</f>
        <v>板橋藝文中心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板橋區</v>
      </c>
      <c r="J37" s="249">
        <v>45742.495138888888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3551</v>
      </c>
      <c r="B38" s="237" t="str">
        <f>VLOOKUP(A38,門市主檔!A:B,2,FALSE)</f>
        <v>北縣板豐店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板橋區</v>
      </c>
      <c r="J38" s="249">
        <v>45742.524305555555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 t="s">
        <v>30</v>
      </c>
      <c r="B39" s="237" t="str">
        <f>VLOOKUP(A39,門市主檔!A:B,2,FALSE)</f>
        <v>北縣府中店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2</v>
      </c>
      <c r="I39" s="237" t="str">
        <f>VLOOKUP(A39,'0919門市清單主檔'!B:V,21,FALSE)</f>
        <v>板橋區</v>
      </c>
      <c r="J39" s="249">
        <v>45742.552083333336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>
        <v>3416</v>
      </c>
      <c r="B40" s="237" t="str">
        <f>VLOOKUP(A40,門市主檔!A:B,2,FALSE)</f>
        <v>板橋國慶店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si="2"/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板橋區</v>
      </c>
      <c r="J40" s="249">
        <v>45742.590277777781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3752</v>
      </c>
      <c r="B41" s="237" t="str">
        <f>VLOOKUP(A41,門市主檔!A:B,2,FALSE)</f>
        <v>板橋豫章店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板橋區</v>
      </c>
      <c r="J41" s="249">
        <v>45742.604166666664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2422</v>
      </c>
      <c r="B42" s="237" t="str">
        <f>VLOOKUP(A42,門市主檔!A:B,2,FALSE)</f>
        <v>北縣板億店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板橋區</v>
      </c>
      <c r="J42" s="249">
        <v>45743.505555555559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15" customHeight="1">
      <c r="A43" s="242"/>
      <c r="B43" s="242"/>
    </row>
    <row r="44" spans="1:17" ht="15" customHeight="1">
      <c r="A44" s="242"/>
      <c r="B44" s="242"/>
    </row>
    <row r="45" spans="1:17" ht="15" customHeight="1">
      <c r="A45" s="242"/>
      <c r="B45" s="242"/>
    </row>
    <row r="46" spans="1:17" ht="15" customHeight="1">
      <c r="A46" s="242"/>
      <c r="B46" s="242"/>
    </row>
    <row r="47" spans="1:17" ht="15" customHeight="1">
      <c r="A47" s="242"/>
      <c r="B47" s="242"/>
    </row>
    <row r="48" spans="1:17" ht="15" customHeight="1">
      <c r="A48" s="242"/>
      <c r="B48" s="242"/>
    </row>
    <row r="49" spans="1:2" ht="15" customHeight="1">
      <c r="A49" s="242"/>
      <c r="B49" s="242"/>
    </row>
    <row r="50" spans="1:2" ht="15" customHeight="1">
      <c r="A50" s="242"/>
      <c r="B50" s="242"/>
    </row>
    <row r="51" spans="1:2" ht="15" customHeight="1">
      <c r="A51" s="242"/>
      <c r="B51" s="242"/>
    </row>
    <row r="52" spans="1:2" ht="15" customHeight="1">
      <c r="A52" s="242"/>
      <c r="B52" s="242"/>
    </row>
    <row r="53" spans="1:2" ht="15" customHeight="1">
      <c r="A53" s="242"/>
      <c r="B53" s="242"/>
    </row>
    <row r="54" spans="1:2" ht="15" customHeight="1">
      <c r="A54" s="242"/>
      <c r="B54" s="242"/>
    </row>
    <row r="55" spans="1:2" ht="15" customHeight="1">
      <c r="A55" s="242"/>
      <c r="B55" s="242"/>
    </row>
    <row r="56" spans="1:2" ht="15" customHeight="1">
      <c r="A56" s="242"/>
      <c r="B56" s="242"/>
    </row>
    <row r="57" spans="1:2" ht="15" customHeight="1">
      <c r="A57" s="242"/>
      <c r="B57" s="242"/>
    </row>
    <row r="58" spans="1:2" ht="15" customHeight="1">
      <c r="A58" s="242"/>
      <c r="B58" s="242"/>
    </row>
    <row r="59" spans="1:2" ht="15" customHeight="1">
      <c r="A59" s="242"/>
      <c r="B59" s="242"/>
    </row>
    <row r="60" spans="1:2" ht="15" customHeight="1">
      <c r="A60" s="242"/>
      <c r="B60" s="242"/>
    </row>
    <row r="61" spans="1:2" ht="15" customHeight="1">
      <c r="A61" s="242"/>
      <c r="B61" s="242"/>
    </row>
    <row r="62" spans="1:2" ht="15" customHeight="1">
      <c r="A62" s="242"/>
      <c r="B62" s="242"/>
    </row>
    <row r="63" spans="1:2" ht="15" customHeight="1">
      <c r="A63" s="242"/>
      <c r="B63" s="242"/>
    </row>
    <row r="64" spans="1:2" ht="15" customHeight="1">
      <c r="A64" s="242"/>
      <c r="B64" s="242"/>
    </row>
    <row r="65" spans="1:2" ht="15" customHeight="1">
      <c r="A65" s="242"/>
      <c r="B65" s="242"/>
    </row>
    <row r="66" spans="1:2" ht="15" customHeight="1">
      <c r="A66" s="242"/>
      <c r="B66" s="242"/>
    </row>
    <row r="67" spans="1:2" ht="15" customHeight="1">
      <c r="A67" s="242"/>
      <c r="B67" s="242"/>
    </row>
    <row r="68" spans="1:2" ht="15" customHeight="1">
      <c r="A68" s="242"/>
      <c r="B68" s="242"/>
    </row>
    <row r="69" spans="1:2" ht="15" customHeight="1">
      <c r="A69" s="242"/>
      <c r="B69" s="242"/>
    </row>
    <row r="70" spans="1:2" ht="15" customHeight="1">
      <c r="A70" s="242"/>
      <c r="B70" s="242"/>
    </row>
    <row r="71" spans="1:2" ht="15" customHeight="1">
      <c r="A71" s="242"/>
      <c r="B71" s="242"/>
    </row>
    <row r="72" spans="1:2" ht="15" customHeight="1">
      <c r="A72" s="242"/>
      <c r="B72" s="242"/>
    </row>
    <row r="73" spans="1:2" ht="15" customHeight="1">
      <c r="A73" s="242"/>
      <c r="B73" s="242"/>
    </row>
    <row r="74" spans="1:2" ht="15" customHeight="1">
      <c r="A74" s="242"/>
      <c r="B74" s="242"/>
    </row>
    <row r="75" spans="1:2" ht="15" customHeight="1">
      <c r="A75" s="242"/>
      <c r="B75" s="242"/>
    </row>
    <row r="76" spans="1:2" ht="15" customHeight="1">
      <c r="A76" s="242"/>
      <c r="B76" s="242"/>
    </row>
    <row r="77" spans="1:2" ht="15" customHeight="1">
      <c r="A77" s="242"/>
      <c r="B77" s="242"/>
    </row>
    <row r="78" spans="1:2" ht="15" customHeight="1">
      <c r="A78" s="242"/>
      <c r="B78" s="242"/>
    </row>
    <row r="79" spans="1:2" ht="15" customHeight="1">
      <c r="A79" s="242"/>
      <c r="B79" s="242"/>
    </row>
    <row r="80" spans="1:2" ht="15" customHeight="1">
      <c r="A80" s="242"/>
      <c r="B80" s="242"/>
    </row>
    <row r="81" spans="1:2" ht="15" customHeight="1">
      <c r="A81" s="242"/>
      <c r="B81" s="242"/>
    </row>
    <row r="82" spans="1:2" ht="15" customHeight="1">
      <c r="A82" s="242"/>
      <c r="B82" s="242"/>
    </row>
    <row r="83" spans="1:2" ht="15" customHeight="1">
      <c r="A83" s="242"/>
      <c r="B83" s="242"/>
    </row>
    <row r="84" spans="1:2" ht="15" customHeight="1">
      <c r="A84" s="242"/>
      <c r="B84" s="242"/>
    </row>
    <row r="85" spans="1:2" ht="15" customHeight="1">
      <c r="A85" s="242"/>
      <c r="B85" s="242"/>
    </row>
    <row r="86" spans="1:2" ht="15" customHeight="1">
      <c r="A86" s="242"/>
      <c r="B86" s="242"/>
    </row>
    <row r="87" spans="1:2" ht="15" customHeight="1">
      <c r="A87" s="242"/>
      <c r="B87" s="242"/>
    </row>
    <row r="88" spans="1:2" ht="15" customHeight="1">
      <c r="A88" s="242"/>
      <c r="B88" s="242"/>
    </row>
    <row r="89" spans="1:2" ht="15" customHeight="1">
      <c r="A89" s="242"/>
      <c r="B89" s="242"/>
    </row>
    <row r="90" spans="1:2" ht="15" customHeight="1">
      <c r="A90" s="242"/>
      <c r="B90" s="242"/>
    </row>
    <row r="91" spans="1:2" ht="15" customHeight="1">
      <c r="A91" s="242"/>
      <c r="B91" s="242"/>
    </row>
    <row r="92" spans="1:2" ht="15" customHeight="1">
      <c r="A92" s="242"/>
      <c r="B92" s="242"/>
    </row>
    <row r="93" spans="1:2" ht="15" customHeight="1">
      <c r="A93" s="242"/>
      <c r="B93" s="242"/>
    </row>
    <row r="94" spans="1:2" ht="15" customHeight="1">
      <c r="A94" s="242"/>
      <c r="B94" s="242"/>
    </row>
    <row r="95" spans="1:2" ht="15" customHeight="1">
      <c r="A95" s="242"/>
      <c r="B95" s="242"/>
    </row>
    <row r="96" spans="1:2" ht="15" customHeight="1">
      <c r="A96" s="242"/>
      <c r="B96" s="242"/>
    </row>
    <row r="97" spans="1:2" ht="15" customHeight="1">
      <c r="A97" s="242"/>
      <c r="B97" s="242"/>
    </row>
    <row r="98" spans="1:2" ht="15" customHeight="1">
      <c r="A98" s="242"/>
      <c r="B98" s="242"/>
    </row>
    <row r="99" spans="1:2" ht="15" customHeight="1">
      <c r="A99" s="242"/>
      <c r="B99" s="242"/>
    </row>
    <row r="100" spans="1:2" ht="15" customHeight="1">
      <c r="A100" s="242"/>
      <c r="B100" s="242"/>
    </row>
    <row r="101" spans="1:2" ht="15" customHeight="1">
      <c r="A101" s="242"/>
      <c r="B101" s="242"/>
    </row>
    <row r="102" spans="1:2" ht="15" customHeight="1">
      <c r="A102" s="242"/>
      <c r="B102" s="242"/>
    </row>
    <row r="103" spans="1:2" ht="15" customHeight="1">
      <c r="A103" s="242"/>
      <c r="B103" s="242"/>
    </row>
    <row r="104" spans="1:2" ht="15" customHeight="1">
      <c r="A104" s="242"/>
      <c r="B104" s="242"/>
    </row>
    <row r="105" spans="1:2" ht="15" customHeight="1">
      <c r="A105" s="242"/>
      <c r="B105" s="242"/>
    </row>
    <row r="106" spans="1:2" ht="15" customHeight="1">
      <c r="A106" s="242"/>
      <c r="B106" s="242"/>
    </row>
    <row r="107" spans="1:2" ht="15" customHeight="1">
      <c r="A107" s="242"/>
      <c r="B107" s="242"/>
    </row>
    <row r="108" spans="1:2" ht="15" customHeight="1">
      <c r="A108" s="242"/>
      <c r="B108" s="242"/>
    </row>
    <row r="109" spans="1:2" ht="15" customHeight="1">
      <c r="A109" s="242"/>
      <c r="B109" s="242"/>
    </row>
    <row r="110" spans="1:2" ht="15" customHeight="1">
      <c r="A110" s="242"/>
      <c r="B110" s="242"/>
    </row>
    <row r="111" spans="1:2" ht="15" customHeight="1">
      <c r="A111" s="242"/>
      <c r="B111" s="242"/>
    </row>
    <row r="112" spans="1:2" ht="15" customHeight="1">
      <c r="A112" s="242"/>
      <c r="B112" s="242"/>
    </row>
    <row r="113" spans="1:2" ht="15" customHeight="1">
      <c r="A113" s="242"/>
      <c r="B113" s="242"/>
    </row>
    <row r="114" spans="1:2" ht="15" customHeight="1">
      <c r="A114" s="242"/>
      <c r="B114" s="242"/>
    </row>
    <row r="115" spans="1:2" ht="15" customHeight="1">
      <c r="A115" s="242"/>
      <c r="B115" s="242"/>
    </row>
    <row r="116" spans="1:2" ht="15" customHeight="1">
      <c r="A116" s="242"/>
      <c r="B116" s="242"/>
    </row>
    <row r="117" spans="1:2" ht="15" customHeight="1">
      <c r="A117" s="242"/>
      <c r="B117" s="242"/>
    </row>
    <row r="118" spans="1:2" ht="15" customHeight="1">
      <c r="A118" s="242"/>
      <c r="B118" s="242"/>
    </row>
    <row r="119" spans="1:2" ht="15" customHeight="1">
      <c r="A119" s="242"/>
      <c r="B119" s="242"/>
    </row>
    <row r="120" spans="1:2" ht="15" customHeight="1">
      <c r="A120" s="242"/>
      <c r="B120" s="242"/>
    </row>
    <row r="121" spans="1:2" ht="15" customHeight="1">
      <c r="A121" s="242"/>
      <c r="B121" s="242"/>
    </row>
    <row r="122" spans="1:2" ht="15" customHeight="1">
      <c r="A122" s="242"/>
      <c r="B122" s="242"/>
    </row>
    <row r="123" spans="1:2" ht="15" customHeight="1">
      <c r="A123" s="242"/>
      <c r="B123" s="242"/>
    </row>
    <row r="124" spans="1:2" ht="15" customHeight="1">
      <c r="A124" s="242"/>
      <c r="B124" s="242"/>
    </row>
    <row r="125" spans="1:2" ht="15" customHeight="1">
      <c r="A125" s="242"/>
      <c r="B125" s="242"/>
    </row>
    <row r="126" spans="1:2" ht="15" customHeight="1">
      <c r="A126" s="242"/>
      <c r="B126" s="242"/>
    </row>
    <row r="127" spans="1:2" ht="15" customHeight="1">
      <c r="A127" s="242"/>
      <c r="B127" s="242"/>
    </row>
    <row r="128" spans="1:2" ht="15" customHeight="1">
      <c r="A128" s="242"/>
      <c r="B128" s="242"/>
    </row>
    <row r="129" spans="1:2" ht="15" customHeight="1">
      <c r="A129" s="242"/>
      <c r="B129" s="242"/>
    </row>
    <row r="130" spans="1:2" ht="15" customHeight="1">
      <c r="A130" s="242"/>
      <c r="B130" s="242"/>
    </row>
    <row r="131" spans="1:2" ht="15" customHeight="1">
      <c r="A131" s="242"/>
      <c r="B131" s="242"/>
    </row>
    <row r="132" spans="1:2" ht="15" customHeight="1">
      <c r="A132" s="242"/>
      <c r="B132" s="242"/>
    </row>
    <row r="133" spans="1:2" ht="15" customHeight="1">
      <c r="A133" s="242"/>
      <c r="B133" s="242"/>
    </row>
    <row r="134" spans="1:2" ht="15" customHeight="1">
      <c r="A134" s="242"/>
      <c r="B134" s="242"/>
    </row>
    <row r="135" spans="1:2" ht="15" customHeight="1">
      <c r="A135" s="242"/>
      <c r="B135" s="242"/>
    </row>
    <row r="136" spans="1:2" ht="15" customHeight="1">
      <c r="A136" s="242"/>
      <c r="B136" s="242"/>
    </row>
    <row r="137" spans="1:2" ht="15" customHeight="1">
      <c r="A137" s="242"/>
      <c r="B137" s="242"/>
    </row>
    <row r="138" spans="1:2" ht="15" customHeight="1">
      <c r="A138" s="242"/>
      <c r="B138" s="242"/>
    </row>
    <row r="139" spans="1:2" ht="15" customHeight="1">
      <c r="A139" s="242"/>
      <c r="B139" s="242"/>
    </row>
    <row r="140" spans="1:2" ht="15" customHeight="1">
      <c r="A140" s="242"/>
      <c r="B140" s="242"/>
    </row>
    <row r="141" spans="1:2" ht="15" customHeight="1">
      <c r="A141" s="242"/>
      <c r="B141" s="242"/>
    </row>
    <row r="142" spans="1:2" ht="15" customHeight="1">
      <c r="A142" s="242"/>
      <c r="B142" s="242"/>
    </row>
    <row r="143" spans="1:2" ht="15" customHeight="1">
      <c r="A143" s="242"/>
      <c r="B143" s="242"/>
    </row>
    <row r="144" spans="1:2" ht="15" customHeight="1">
      <c r="A144" s="242"/>
      <c r="B144" s="242"/>
    </row>
    <row r="145" spans="1:2" ht="15" customHeight="1">
      <c r="A145" s="242"/>
      <c r="B145" s="242"/>
    </row>
    <row r="146" spans="1:2" ht="15" customHeight="1">
      <c r="A146" s="242"/>
      <c r="B146" s="242"/>
    </row>
    <row r="147" spans="1:2" ht="15" customHeight="1">
      <c r="A147" s="242"/>
      <c r="B147" s="242"/>
    </row>
    <row r="148" spans="1:2" ht="15" customHeight="1">
      <c r="A148" s="242"/>
      <c r="B148" s="242"/>
    </row>
    <row r="149" spans="1:2" ht="15" customHeight="1">
      <c r="A149" s="242"/>
      <c r="B149" s="242"/>
    </row>
    <row r="150" spans="1:2" ht="15" customHeight="1">
      <c r="A150" s="242"/>
      <c r="B150" s="242"/>
    </row>
    <row r="151" spans="1:2" ht="15" customHeight="1">
      <c r="A151" s="242"/>
      <c r="B151" s="242"/>
    </row>
    <row r="152" spans="1:2" ht="15" customHeight="1">
      <c r="A152" s="242"/>
      <c r="B152" s="242"/>
    </row>
    <row r="153" spans="1:2" ht="15" customHeight="1">
      <c r="A153" s="242"/>
      <c r="B153" s="242"/>
    </row>
    <row r="154" spans="1:2" ht="15" customHeight="1">
      <c r="A154" s="242"/>
      <c r="B154" s="242"/>
    </row>
    <row r="155" spans="1:2" ht="15" customHeight="1">
      <c r="A155" s="242"/>
      <c r="B155" s="242"/>
    </row>
    <row r="156" spans="1:2" ht="15" customHeight="1">
      <c r="A156" s="242"/>
      <c r="B156" s="242"/>
    </row>
    <row r="157" spans="1:2" ht="15" customHeight="1">
      <c r="A157" s="242"/>
      <c r="B157" s="242"/>
    </row>
    <row r="158" spans="1:2" ht="15" customHeight="1">
      <c r="A158" s="242"/>
      <c r="B158" s="242"/>
    </row>
    <row r="159" spans="1:2" ht="15" customHeight="1">
      <c r="A159" s="242"/>
      <c r="B159" s="242"/>
    </row>
    <row r="160" spans="1:2" ht="15" customHeight="1">
      <c r="A160" s="242"/>
      <c r="B160" s="242"/>
    </row>
    <row r="161" spans="1:2" ht="15" customHeight="1">
      <c r="A161" s="242"/>
      <c r="B161" s="242"/>
    </row>
    <row r="162" spans="1:2" ht="15" customHeight="1">
      <c r="A162" s="242"/>
      <c r="B162" s="242"/>
    </row>
    <row r="163" spans="1:2" ht="15" customHeight="1">
      <c r="A163" s="242"/>
      <c r="B163" s="242"/>
    </row>
    <row r="164" spans="1:2" ht="15" customHeight="1">
      <c r="A164" s="242"/>
      <c r="B164" s="242"/>
    </row>
    <row r="165" spans="1:2" ht="15" customHeight="1">
      <c r="A165" s="242"/>
      <c r="B165" s="242"/>
    </row>
    <row r="166" spans="1:2" ht="15" customHeight="1">
      <c r="A166" s="242"/>
      <c r="B166" s="242"/>
    </row>
    <row r="167" spans="1:2" ht="15" customHeight="1">
      <c r="A167" s="242"/>
      <c r="B167" s="242"/>
    </row>
    <row r="168" spans="1:2" ht="15" customHeight="1">
      <c r="A168" s="242"/>
      <c r="B168" s="242"/>
    </row>
    <row r="169" spans="1:2" ht="15" customHeight="1">
      <c r="A169" s="242"/>
      <c r="B169" s="242"/>
    </row>
    <row r="170" spans="1:2" ht="15" customHeight="1">
      <c r="A170" s="242"/>
      <c r="B170" s="242"/>
    </row>
    <row r="171" spans="1:2" ht="15" customHeight="1">
      <c r="A171" s="242"/>
      <c r="B171" s="242"/>
    </row>
    <row r="172" spans="1:2" ht="15" customHeight="1">
      <c r="A172" s="242"/>
      <c r="B172" s="242"/>
    </row>
    <row r="173" spans="1:2" ht="15" customHeight="1">
      <c r="A173" s="242"/>
      <c r="B173" s="242"/>
    </row>
    <row r="174" spans="1:2" ht="15" customHeight="1">
      <c r="A174" s="242"/>
      <c r="B174" s="242"/>
    </row>
    <row r="175" spans="1:2" ht="15" customHeight="1">
      <c r="A175" s="242"/>
      <c r="B175" s="242"/>
    </row>
    <row r="176" spans="1:2" ht="15" customHeight="1">
      <c r="A176" s="242"/>
      <c r="B176" s="242"/>
    </row>
    <row r="177" spans="1:2" ht="15" customHeight="1">
      <c r="A177" s="242"/>
      <c r="B177" s="242"/>
    </row>
    <row r="178" spans="1:2" ht="15" customHeight="1">
      <c r="A178" s="242"/>
      <c r="B178" s="242"/>
    </row>
    <row r="179" spans="1:2" ht="15" customHeight="1">
      <c r="A179" s="242"/>
      <c r="B179" s="242"/>
    </row>
    <row r="180" spans="1:2" ht="15" customHeight="1">
      <c r="A180" s="242"/>
      <c r="B180" s="242"/>
    </row>
    <row r="181" spans="1:2" ht="15" customHeight="1">
      <c r="A181" s="242"/>
      <c r="B181" s="242"/>
    </row>
    <row r="182" spans="1:2" ht="15" customHeight="1">
      <c r="A182" s="242"/>
      <c r="B182" s="242"/>
    </row>
    <row r="183" spans="1:2" ht="15" customHeight="1">
      <c r="A183" s="242"/>
      <c r="B183" s="242"/>
    </row>
    <row r="184" spans="1:2" ht="15" customHeight="1">
      <c r="A184" s="242"/>
      <c r="B184" s="242"/>
    </row>
    <row r="185" spans="1:2" ht="15" customHeight="1">
      <c r="A185" s="242"/>
      <c r="B185" s="242"/>
    </row>
    <row r="186" spans="1:2" ht="15" customHeight="1">
      <c r="A186" s="242"/>
      <c r="B186" s="242"/>
    </row>
    <row r="187" spans="1:2" ht="15" customHeight="1">
      <c r="A187" s="242"/>
      <c r="B187" s="242"/>
    </row>
    <row r="188" spans="1:2" ht="15" customHeight="1">
      <c r="A188" s="242"/>
      <c r="B188" s="242"/>
    </row>
    <row r="189" spans="1:2" ht="15" customHeight="1">
      <c r="A189" s="242"/>
      <c r="B189" s="242"/>
    </row>
    <row r="190" spans="1:2" ht="15" customHeight="1">
      <c r="A190" s="242"/>
      <c r="B190" s="242"/>
    </row>
    <row r="191" spans="1:2" ht="15" customHeight="1">
      <c r="A191" s="242"/>
      <c r="B191" s="242"/>
    </row>
    <row r="192" spans="1:2" ht="15" customHeight="1">
      <c r="A192" s="242"/>
      <c r="B192" s="242"/>
    </row>
    <row r="193" spans="1:2" ht="15" customHeight="1">
      <c r="A193" s="242"/>
      <c r="B193" s="242"/>
    </row>
    <row r="194" spans="1:2" ht="15" customHeight="1">
      <c r="A194" s="242"/>
      <c r="B194" s="242"/>
    </row>
    <row r="195" spans="1:2" ht="15" customHeight="1">
      <c r="A195" s="242"/>
      <c r="B195" s="242"/>
    </row>
    <row r="196" spans="1:2" ht="15" customHeight="1">
      <c r="A196" s="242"/>
      <c r="B196" s="242"/>
    </row>
    <row r="197" spans="1:2" ht="15" customHeight="1">
      <c r="A197" s="242"/>
      <c r="B197" s="242"/>
    </row>
    <row r="198" spans="1:2" ht="15" customHeight="1">
      <c r="A198" s="242"/>
      <c r="B198" s="242"/>
    </row>
    <row r="199" spans="1:2" ht="15" customHeight="1">
      <c r="A199" s="242"/>
      <c r="B199" s="242"/>
    </row>
    <row r="200" spans="1:2" ht="15" customHeight="1">
      <c r="A200" s="242"/>
      <c r="B200" s="242"/>
    </row>
    <row r="201" spans="1:2" ht="15" customHeight="1">
      <c r="A201" s="242"/>
      <c r="B201" s="242"/>
    </row>
    <row r="202" spans="1:2" ht="15" customHeight="1">
      <c r="A202" s="242"/>
      <c r="B202" s="242"/>
    </row>
    <row r="203" spans="1:2" ht="15" customHeight="1">
      <c r="A203" s="242"/>
      <c r="B203" s="242"/>
    </row>
    <row r="204" spans="1:2" ht="15" customHeight="1">
      <c r="A204" s="242"/>
      <c r="B204" s="242"/>
    </row>
    <row r="205" spans="1:2" ht="15" customHeight="1">
      <c r="A205" s="242"/>
      <c r="B205" s="242"/>
    </row>
    <row r="206" spans="1:2" ht="15" customHeight="1">
      <c r="A206" s="242"/>
      <c r="B206" s="242"/>
    </row>
    <row r="207" spans="1:2" ht="15" customHeight="1">
      <c r="A207" s="242"/>
      <c r="B207" s="242"/>
    </row>
    <row r="208" spans="1:2" ht="15" customHeight="1">
      <c r="A208" s="242"/>
      <c r="B208" s="242"/>
    </row>
    <row r="209" spans="1:2" ht="15" customHeight="1">
      <c r="A209" s="242"/>
      <c r="B209" s="242"/>
    </row>
    <row r="210" spans="1:2" ht="15" customHeight="1">
      <c r="A210" s="242"/>
      <c r="B210" s="242"/>
    </row>
    <row r="211" spans="1:2" ht="15" customHeight="1">
      <c r="A211" s="242"/>
      <c r="B211" s="242"/>
    </row>
    <row r="212" spans="1:2" ht="15" customHeight="1">
      <c r="A212" s="242"/>
      <c r="B212" s="242"/>
    </row>
    <row r="213" spans="1:2" ht="15" customHeight="1">
      <c r="A213" s="242"/>
      <c r="B213" s="242"/>
    </row>
    <row r="214" spans="1:2" ht="15" customHeight="1">
      <c r="A214" s="242"/>
      <c r="B214" s="242"/>
    </row>
    <row r="215" spans="1:2" ht="15" customHeight="1">
      <c r="A215" s="242"/>
      <c r="B215" s="242"/>
    </row>
    <row r="216" spans="1:2" ht="15" customHeight="1">
      <c r="A216" s="242"/>
      <c r="B216" s="242"/>
    </row>
    <row r="217" spans="1:2" ht="15" customHeight="1">
      <c r="A217" s="242"/>
      <c r="B217" s="242"/>
    </row>
    <row r="218" spans="1:2" ht="15" customHeight="1">
      <c r="A218" s="242"/>
      <c r="B218" s="242"/>
    </row>
    <row r="219" spans="1:2" ht="15" customHeight="1">
      <c r="A219" s="242"/>
      <c r="B219" s="242"/>
    </row>
    <row r="220" spans="1:2" ht="15" customHeight="1">
      <c r="A220" s="242"/>
      <c r="B220" s="242"/>
    </row>
    <row r="221" spans="1:2" ht="15" customHeight="1">
      <c r="A221" s="242"/>
      <c r="B221" s="242"/>
    </row>
    <row r="222" spans="1:2" ht="15" customHeight="1">
      <c r="A222" s="242"/>
      <c r="B222" s="242"/>
    </row>
    <row r="223" spans="1:2" ht="15" customHeight="1">
      <c r="A223" s="242"/>
      <c r="B223" s="242"/>
    </row>
    <row r="224" spans="1:2" ht="15" customHeight="1">
      <c r="A224" s="242"/>
      <c r="B224" s="242"/>
    </row>
    <row r="225" spans="1:2" ht="15" customHeight="1">
      <c r="A225" s="242"/>
      <c r="B225" s="242"/>
    </row>
    <row r="226" spans="1:2" ht="15" customHeight="1">
      <c r="A226" s="242"/>
      <c r="B226" s="242"/>
    </row>
    <row r="227" spans="1:2" ht="15" customHeight="1">
      <c r="A227" s="242"/>
      <c r="B227" s="242"/>
    </row>
    <row r="228" spans="1:2" ht="15" customHeight="1">
      <c r="A228" s="242"/>
      <c r="B228" s="242"/>
    </row>
    <row r="229" spans="1:2" ht="15" customHeight="1">
      <c r="A229" s="242"/>
      <c r="B229" s="242"/>
    </row>
    <row r="230" spans="1:2" ht="15" customHeight="1">
      <c r="A230" s="242"/>
      <c r="B230" s="242"/>
    </row>
    <row r="231" spans="1:2" ht="15" customHeight="1">
      <c r="A231" s="242"/>
      <c r="B231" s="242"/>
    </row>
    <row r="232" spans="1:2" ht="15" customHeight="1">
      <c r="A232" s="242"/>
      <c r="B232" s="242"/>
    </row>
    <row r="233" spans="1:2" ht="15" customHeight="1">
      <c r="A233" s="242"/>
      <c r="B233" s="242"/>
    </row>
    <row r="234" spans="1:2" ht="15" customHeight="1">
      <c r="A234" s="242"/>
      <c r="B234" s="242"/>
    </row>
    <row r="235" spans="1:2" ht="15" customHeight="1">
      <c r="A235" s="242"/>
      <c r="B235" s="242"/>
    </row>
    <row r="236" spans="1:2" ht="15" customHeight="1">
      <c r="A236" s="242"/>
      <c r="B236" s="242"/>
    </row>
    <row r="237" spans="1:2" ht="15" customHeight="1">
      <c r="A237" s="242"/>
      <c r="B237" s="242"/>
    </row>
    <row r="238" spans="1:2" ht="15" customHeight="1">
      <c r="A238" s="242"/>
      <c r="B238" s="242"/>
    </row>
    <row r="239" spans="1:2" ht="15" customHeight="1">
      <c r="A239" s="242"/>
      <c r="B239" s="242"/>
    </row>
    <row r="240" spans="1:2" ht="15" customHeight="1">
      <c r="A240" s="242"/>
      <c r="B240" s="242"/>
    </row>
    <row r="241" spans="1:2" ht="15" customHeight="1">
      <c r="A241" s="242"/>
      <c r="B241" s="242"/>
    </row>
    <row r="242" spans="1:2" ht="15" customHeight="1">
      <c r="A242" s="242"/>
      <c r="B242" s="242"/>
    </row>
    <row r="243" spans="1:2" ht="15" customHeight="1">
      <c r="A243" s="242"/>
      <c r="B243" s="242"/>
    </row>
    <row r="244" spans="1:2" ht="15" customHeight="1">
      <c r="A244" s="242"/>
      <c r="B244" s="242"/>
    </row>
    <row r="245" spans="1:2" ht="15" customHeight="1">
      <c r="A245" s="242"/>
      <c r="B245" s="242"/>
    </row>
    <row r="246" spans="1:2" ht="15" customHeight="1">
      <c r="A246" s="242"/>
      <c r="B246" s="242"/>
    </row>
    <row r="247" spans="1:2" ht="15" customHeight="1">
      <c r="A247" s="242"/>
      <c r="B247" s="242"/>
    </row>
    <row r="248" spans="1:2" ht="15" customHeight="1">
      <c r="A248" s="242"/>
      <c r="B248" s="242"/>
    </row>
    <row r="249" spans="1:2" ht="15" customHeight="1">
      <c r="A249" s="242"/>
      <c r="B249" s="242"/>
    </row>
    <row r="250" spans="1:2" ht="15" customHeight="1">
      <c r="A250" s="242"/>
      <c r="B250" s="242"/>
    </row>
    <row r="251" spans="1:2" ht="15" customHeight="1">
      <c r="A251" s="242"/>
      <c r="B251" s="242"/>
    </row>
    <row r="252" spans="1:2" ht="15" customHeight="1">
      <c r="A252" s="242"/>
      <c r="B252" s="242"/>
    </row>
    <row r="253" spans="1:2" ht="15" customHeight="1">
      <c r="A253" s="242"/>
      <c r="B253" s="242"/>
    </row>
    <row r="254" spans="1:2" ht="15" customHeight="1">
      <c r="A254" s="242"/>
      <c r="B254" s="242"/>
    </row>
    <row r="255" spans="1:2" ht="15" customHeight="1">
      <c r="A255" s="242"/>
      <c r="B255" s="242"/>
    </row>
    <row r="256" spans="1:2" ht="15" customHeight="1">
      <c r="A256" s="242"/>
      <c r="B256" s="242"/>
    </row>
    <row r="257" spans="1:2" ht="15" customHeight="1">
      <c r="A257" s="242"/>
      <c r="B257" s="242"/>
    </row>
    <row r="258" spans="1:2" ht="15" customHeight="1">
      <c r="A258" s="242"/>
      <c r="B258" s="242"/>
    </row>
    <row r="259" spans="1:2" ht="15" customHeight="1">
      <c r="A259" s="242"/>
      <c r="B259" s="242"/>
    </row>
    <row r="260" spans="1:2" ht="15" customHeight="1">
      <c r="A260" s="242"/>
      <c r="B260" s="242"/>
    </row>
    <row r="261" spans="1:2" ht="15" customHeight="1">
      <c r="A261" s="242"/>
      <c r="B261" s="242"/>
    </row>
    <row r="262" spans="1:2" ht="15" customHeight="1">
      <c r="A262" s="242"/>
      <c r="B262" s="242"/>
    </row>
    <row r="263" spans="1:2" ht="15" customHeight="1">
      <c r="A263" s="242"/>
      <c r="B263" s="242"/>
    </row>
    <row r="264" spans="1:2" ht="15" customHeight="1">
      <c r="A264" s="242"/>
      <c r="B264" s="242"/>
    </row>
    <row r="265" spans="1:2" ht="15" customHeight="1">
      <c r="A265" s="242"/>
      <c r="B265" s="242"/>
    </row>
    <row r="266" spans="1:2" ht="15" customHeight="1">
      <c r="A266" s="242"/>
      <c r="B266" s="242"/>
    </row>
    <row r="267" spans="1:2" ht="15" customHeight="1">
      <c r="A267" s="242"/>
      <c r="B267" s="242"/>
    </row>
    <row r="268" spans="1:2" ht="15" customHeight="1">
      <c r="A268" s="242"/>
      <c r="B268" s="242"/>
    </row>
    <row r="269" spans="1:2" ht="15" customHeight="1">
      <c r="A269" s="242"/>
      <c r="B269" s="242"/>
    </row>
    <row r="270" spans="1:2" ht="15" customHeight="1">
      <c r="A270" s="242"/>
      <c r="B270" s="242"/>
    </row>
    <row r="271" spans="1:2" ht="15" customHeight="1">
      <c r="A271" s="242"/>
      <c r="B271" s="242"/>
    </row>
    <row r="272" spans="1:2" ht="15" customHeight="1">
      <c r="A272" s="242"/>
      <c r="B272" s="242"/>
    </row>
    <row r="273" spans="1:2" ht="15" customHeight="1">
      <c r="A273" s="242"/>
      <c r="B273" s="242"/>
    </row>
    <row r="274" spans="1:2" ht="15" customHeight="1">
      <c r="A274" s="242"/>
      <c r="B274" s="242"/>
    </row>
    <row r="275" spans="1:2" ht="15" customHeight="1">
      <c r="A275" s="242"/>
      <c r="B275" s="242"/>
    </row>
    <row r="276" spans="1:2" ht="15" customHeight="1">
      <c r="A276" s="242"/>
      <c r="B276" s="242"/>
    </row>
    <row r="277" spans="1:2" ht="15" customHeight="1">
      <c r="A277" s="242"/>
      <c r="B277" s="242"/>
    </row>
    <row r="278" spans="1:2" ht="15" customHeight="1">
      <c r="A278" s="242"/>
      <c r="B278" s="242"/>
    </row>
    <row r="279" spans="1:2" ht="15" customHeight="1">
      <c r="A279" s="242"/>
      <c r="B279" s="242"/>
    </row>
    <row r="280" spans="1:2" ht="15" customHeight="1">
      <c r="A280" s="242"/>
      <c r="B280" s="242"/>
    </row>
    <row r="281" spans="1:2" ht="15" customHeight="1">
      <c r="A281" s="242"/>
      <c r="B281" s="242"/>
    </row>
    <row r="282" spans="1:2" ht="15" customHeight="1">
      <c r="A282" s="242"/>
      <c r="B282" s="242"/>
    </row>
    <row r="283" spans="1:2" ht="15" customHeight="1">
      <c r="A283" s="242"/>
      <c r="B283" s="242"/>
    </row>
    <row r="284" spans="1:2" ht="15" customHeight="1">
      <c r="A284" s="242"/>
      <c r="B284" s="242"/>
    </row>
    <row r="285" spans="1:2" ht="15" customHeight="1">
      <c r="A285" s="242"/>
      <c r="B285" s="242"/>
    </row>
    <row r="286" spans="1:2" ht="15" customHeight="1">
      <c r="A286" s="242"/>
      <c r="B286" s="242"/>
    </row>
    <row r="287" spans="1:2" ht="15" customHeight="1">
      <c r="A287" s="242"/>
      <c r="B287" s="242"/>
    </row>
    <row r="288" spans="1:2" ht="15" customHeight="1">
      <c r="A288" s="242"/>
      <c r="B288" s="242"/>
    </row>
    <row r="289" spans="1:2" ht="15" customHeight="1">
      <c r="A289" s="242"/>
      <c r="B289" s="242"/>
    </row>
    <row r="290" spans="1:2" ht="15" customHeight="1">
      <c r="A290" s="242"/>
      <c r="B290" s="242"/>
    </row>
    <row r="291" spans="1:2" ht="15" customHeight="1">
      <c r="A291" s="242"/>
      <c r="B291" s="242"/>
    </row>
    <row r="292" spans="1:2" ht="15" customHeight="1">
      <c r="A292" s="242"/>
      <c r="B292" s="242"/>
    </row>
    <row r="293" spans="1:2" ht="15" customHeight="1">
      <c r="A293" s="242"/>
      <c r="B293" s="242"/>
    </row>
    <row r="294" spans="1:2" ht="15" customHeight="1">
      <c r="A294" s="242"/>
      <c r="B294" s="242"/>
    </row>
    <row r="295" spans="1:2" ht="15" customHeight="1">
      <c r="A295" s="242"/>
      <c r="B295" s="242"/>
    </row>
    <row r="296" spans="1:2" ht="15" customHeight="1">
      <c r="A296" s="242"/>
      <c r="B296" s="242"/>
    </row>
    <row r="297" spans="1:2" ht="15" customHeight="1">
      <c r="A297" s="242"/>
      <c r="B297" s="242"/>
    </row>
    <row r="298" spans="1:2" ht="15" customHeight="1">
      <c r="A298" s="242"/>
      <c r="B298" s="242"/>
    </row>
    <row r="299" spans="1:2" ht="15" customHeight="1">
      <c r="A299" s="242"/>
      <c r="B299" s="242"/>
    </row>
    <row r="300" spans="1:2" ht="15" customHeight="1">
      <c r="A300" s="242"/>
      <c r="B300" s="242"/>
    </row>
    <row r="301" spans="1:2" ht="15" customHeight="1">
      <c r="A301" s="242"/>
      <c r="B301" s="242"/>
    </row>
    <row r="302" spans="1:2" ht="15" customHeight="1">
      <c r="A302" s="242"/>
      <c r="B302" s="242"/>
    </row>
    <row r="303" spans="1:2" ht="15" customHeight="1">
      <c r="A303" s="242"/>
      <c r="B303" s="242"/>
    </row>
    <row r="304" spans="1:2" ht="15" customHeight="1">
      <c r="A304" s="242"/>
      <c r="B304" s="242"/>
    </row>
    <row r="305" spans="1:2" ht="15" customHeight="1">
      <c r="A305" s="242"/>
      <c r="B305" s="242"/>
    </row>
    <row r="306" spans="1:2" ht="15" customHeight="1">
      <c r="A306" s="242"/>
      <c r="B306" s="242"/>
    </row>
    <row r="307" spans="1:2" ht="15" customHeight="1">
      <c r="A307" s="242"/>
      <c r="B307" s="242"/>
    </row>
    <row r="308" spans="1:2" ht="15" customHeight="1">
      <c r="A308" s="242"/>
      <c r="B308" s="242"/>
    </row>
    <row r="309" spans="1:2" ht="15" customHeight="1">
      <c r="A309" s="242"/>
      <c r="B309" s="242"/>
    </row>
    <row r="310" spans="1:2" ht="15" customHeight="1">
      <c r="A310" s="242"/>
      <c r="B310" s="242"/>
    </row>
    <row r="311" spans="1:2" ht="15" customHeight="1">
      <c r="A311" s="242"/>
      <c r="B311" s="242"/>
    </row>
    <row r="312" spans="1:2" ht="15" customHeight="1">
      <c r="A312" s="242"/>
      <c r="B312" s="242"/>
    </row>
    <row r="313" spans="1:2" ht="15" customHeight="1">
      <c r="A313" s="242"/>
      <c r="B313" s="242"/>
    </row>
    <row r="314" spans="1:2" ht="15" customHeight="1">
      <c r="A314" s="242"/>
      <c r="B314" s="242"/>
    </row>
    <row r="315" spans="1:2" ht="15" customHeight="1">
      <c r="A315" s="242"/>
      <c r="B315" s="242"/>
    </row>
    <row r="316" spans="1:2" ht="15" customHeight="1">
      <c r="A316" s="242"/>
      <c r="B316" s="242"/>
    </row>
    <row r="317" spans="1:2" ht="15" customHeight="1">
      <c r="A317" s="242"/>
      <c r="B317" s="242"/>
    </row>
    <row r="318" spans="1:2" ht="15" customHeight="1">
      <c r="A318" s="242"/>
      <c r="B318" s="242"/>
    </row>
    <row r="319" spans="1:2" ht="15" customHeight="1">
      <c r="A319" s="242"/>
      <c r="B319" s="242"/>
    </row>
    <row r="320" spans="1:2" ht="15" customHeight="1">
      <c r="A320" s="242"/>
      <c r="B320" s="242"/>
    </row>
    <row r="321" spans="1:2" ht="15" customHeight="1">
      <c r="A321" s="242"/>
      <c r="B321" s="242"/>
    </row>
    <row r="322" spans="1:2" ht="15" customHeight="1">
      <c r="A322" s="242"/>
      <c r="B322" s="242"/>
    </row>
    <row r="323" spans="1:2" ht="15" customHeight="1">
      <c r="A323" s="242"/>
      <c r="B323" s="242"/>
    </row>
    <row r="324" spans="1:2" ht="15" customHeight="1">
      <c r="A324" s="242"/>
      <c r="B324" s="242"/>
    </row>
    <row r="325" spans="1:2" ht="15" customHeight="1">
      <c r="A325" s="242"/>
      <c r="B325" s="242"/>
    </row>
    <row r="326" spans="1:2" ht="15" customHeight="1">
      <c r="A326" s="242"/>
      <c r="B326" s="242"/>
    </row>
    <row r="327" spans="1:2" ht="15" customHeight="1">
      <c r="A327" s="242"/>
      <c r="B327" s="242"/>
    </row>
    <row r="328" spans="1:2" ht="15" customHeight="1">
      <c r="A328" s="242"/>
      <c r="B328" s="242"/>
    </row>
    <row r="329" spans="1:2" ht="15" customHeight="1">
      <c r="A329" s="242"/>
      <c r="B329" s="242"/>
    </row>
    <row r="330" spans="1:2" ht="15" customHeight="1">
      <c r="A330" s="242"/>
      <c r="B330" s="242"/>
    </row>
    <row r="331" spans="1:2" ht="15" customHeight="1">
      <c r="A331" s="242"/>
      <c r="B331" s="242"/>
    </row>
    <row r="332" spans="1:2" ht="15" customHeight="1">
      <c r="A332" s="242"/>
      <c r="B332" s="242"/>
    </row>
    <row r="333" spans="1:2" ht="15" customHeight="1">
      <c r="A333" s="242"/>
      <c r="B333" s="242"/>
    </row>
    <row r="334" spans="1:2" ht="15" customHeight="1">
      <c r="A334" s="242"/>
      <c r="B334" s="242"/>
    </row>
    <row r="335" spans="1:2" ht="15" customHeight="1">
      <c r="A335" s="242"/>
      <c r="B335" s="242"/>
    </row>
    <row r="336" spans="1:2" ht="15" customHeight="1">
      <c r="A336" s="242"/>
      <c r="B336" s="242"/>
    </row>
    <row r="337" spans="1:2" ht="15" customHeight="1">
      <c r="A337" s="242"/>
      <c r="B337" s="242"/>
    </row>
    <row r="338" spans="1:2" ht="15" customHeight="1">
      <c r="A338" s="242"/>
      <c r="B338" s="242"/>
    </row>
    <row r="339" spans="1:2" ht="15" customHeight="1">
      <c r="A339" s="242"/>
      <c r="B339" s="242"/>
    </row>
    <row r="340" spans="1:2" ht="15" customHeight="1">
      <c r="A340" s="242"/>
      <c r="B340" s="242"/>
    </row>
    <row r="341" spans="1:2" ht="15" customHeight="1">
      <c r="A341" s="242"/>
      <c r="B341" s="242"/>
    </row>
    <row r="342" spans="1:2" ht="15" customHeight="1">
      <c r="A342" s="242"/>
      <c r="B342" s="242"/>
    </row>
    <row r="343" spans="1:2" ht="15" customHeight="1">
      <c r="A343" s="242"/>
      <c r="B343" s="242"/>
    </row>
    <row r="344" spans="1:2" ht="15" customHeight="1">
      <c r="A344" s="242"/>
      <c r="B344" s="242"/>
    </row>
    <row r="345" spans="1:2" ht="15" customHeight="1">
      <c r="A345" s="242"/>
      <c r="B345" s="242"/>
    </row>
    <row r="346" spans="1:2" ht="15" customHeight="1">
      <c r="A346" s="242"/>
      <c r="B346" s="242"/>
    </row>
    <row r="347" spans="1:2" ht="15" customHeight="1">
      <c r="A347" s="242"/>
      <c r="B347" s="242"/>
    </row>
    <row r="348" spans="1:2" ht="15" customHeight="1">
      <c r="A348" s="242"/>
      <c r="B348" s="242"/>
    </row>
    <row r="349" spans="1:2" ht="15" customHeight="1">
      <c r="A349" s="242"/>
      <c r="B349" s="242"/>
    </row>
    <row r="350" spans="1:2" ht="15" customHeight="1">
      <c r="A350" s="242"/>
      <c r="B350" s="242"/>
    </row>
    <row r="351" spans="1:2" ht="15" customHeight="1">
      <c r="A351" s="242"/>
      <c r="B351" s="242"/>
    </row>
    <row r="352" spans="1:2" ht="15" customHeight="1">
      <c r="A352" s="242"/>
      <c r="B352" s="242"/>
    </row>
    <row r="353" spans="1:2" ht="15" customHeight="1">
      <c r="A353" s="242"/>
      <c r="B353" s="242"/>
    </row>
    <row r="354" spans="1:2" ht="15" customHeight="1">
      <c r="A354" s="242"/>
      <c r="B354" s="242"/>
    </row>
    <row r="355" spans="1:2" ht="15" customHeight="1">
      <c r="A355" s="242"/>
      <c r="B355" s="242"/>
    </row>
    <row r="356" spans="1:2" ht="15" customHeight="1">
      <c r="A356" s="242"/>
      <c r="B356" s="242"/>
    </row>
    <row r="357" spans="1:2" ht="15" customHeight="1">
      <c r="A357" s="242"/>
      <c r="B357" s="242"/>
    </row>
    <row r="358" spans="1:2" ht="15" customHeight="1">
      <c r="A358" s="242"/>
      <c r="B358" s="242"/>
    </row>
    <row r="359" spans="1:2" ht="15" customHeight="1">
      <c r="A359" s="242"/>
      <c r="B359" s="242"/>
    </row>
    <row r="360" spans="1:2" ht="15" customHeight="1">
      <c r="A360" s="242"/>
      <c r="B360" s="242"/>
    </row>
    <row r="361" spans="1:2" ht="15" customHeight="1">
      <c r="A361" s="242"/>
      <c r="B361" s="242"/>
    </row>
    <row r="362" spans="1:2" ht="15" customHeight="1">
      <c r="A362" s="242"/>
      <c r="B362" s="242"/>
    </row>
    <row r="363" spans="1:2" ht="15" customHeight="1">
      <c r="A363" s="242"/>
      <c r="B363" s="242"/>
    </row>
    <row r="364" spans="1:2" ht="15" customHeight="1">
      <c r="A364" s="242"/>
      <c r="B364" s="242"/>
    </row>
    <row r="365" spans="1:2" ht="15" customHeight="1">
      <c r="A365" s="242"/>
      <c r="B365" s="242"/>
    </row>
    <row r="366" spans="1:2" ht="15" customHeight="1">
      <c r="A366" s="242"/>
      <c r="B366" s="242"/>
    </row>
    <row r="367" spans="1:2" ht="15" customHeight="1">
      <c r="A367" s="242"/>
      <c r="B367" s="242"/>
    </row>
    <row r="368" spans="1:2" ht="15" customHeight="1">
      <c r="A368" s="242"/>
      <c r="B368" s="242"/>
    </row>
    <row r="369" spans="1:2" ht="15" customHeight="1">
      <c r="A369" s="242"/>
      <c r="B369" s="242"/>
    </row>
    <row r="370" spans="1:2" ht="15" customHeight="1">
      <c r="A370" s="242"/>
      <c r="B370" s="242"/>
    </row>
    <row r="371" spans="1:2" ht="15" customHeight="1">
      <c r="A371" s="242"/>
      <c r="B371" s="242"/>
    </row>
    <row r="372" spans="1:2" ht="15" customHeight="1">
      <c r="A372" s="242"/>
      <c r="B372" s="242"/>
    </row>
    <row r="373" spans="1:2" ht="15" customHeight="1">
      <c r="A373" s="242"/>
      <c r="B373" s="242"/>
    </row>
    <row r="374" spans="1:2" ht="15" customHeight="1">
      <c r="A374" s="242"/>
      <c r="B374" s="242"/>
    </row>
    <row r="375" spans="1:2" ht="15" customHeight="1">
      <c r="A375" s="242"/>
      <c r="B375" s="242"/>
    </row>
    <row r="376" spans="1:2" ht="15" customHeight="1">
      <c r="A376" s="242"/>
      <c r="B376" s="242"/>
    </row>
    <row r="377" spans="1:2" ht="15" customHeight="1">
      <c r="A377" s="242"/>
      <c r="B377" s="242"/>
    </row>
    <row r="378" spans="1:2" ht="15" customHeight="1">
      <c r="A378" s="242"/>
      <c r="B378" s="242"/>
    </row>
    <row r="379" spans="1:2" ht="15" customHeight="1">
      <c r="A379" s="242"/>
      <c r="B379" s="242"/>
    </row>
    <row r="380" spans="1:2" ht="15" customHeight="1">
      <c r="A380" s="242"/>
      <c r="B380" s="242"/>
    </row>
    <row r="381" spans="1:2" ht="15" customHeight="1">
      <c r="A381" s="242"/>
      <c r="B381" s="242"/>
    </row>
    <row r="382" spans="1:2" ht="15" customHeight="1">
      <c r="A382" s="242"/>
      <c r="B382" s="242"/>
    </row>
    <row r="383" spans="1:2" ht="15" customHeight="1">
      <c r="A383" s="242"/>
      <c r="B383" s="242"/>
    </row>
    <row r="384" spans="1:2" ht="15" customHeight="1">
      <c r="A384" s="242"/>
      <c r="B384" s="242"/>
    </row>
    <row r="385" spans="1:2" ht="15" customHeight="1">
      <c r="A385" s="242"/>
      <c r="B385" s="242"/>
    </row>
    <row r="386" spans="1:2" ht="15" customHeight="1">
      <c r="A386" s="242"/>
      <c r="B386" s="242"/>
    </row>
    <row r="387" spans="1:2" ht="15" customHeight="1">
      <c r="A387" s="242"/>
      <c r="B387" s="242"/>
    </row>
    <row r="388" spans="1:2" ht="15" customHeight="1">
      <c r="A388" s="242"/>
      <c r="B388" s="242"/>
    </row>
    <row r="389" spans="1:2" ht="15" customHeight="1">
      <c r="A389" s="242"/>
      <c r="B389" s="242"/>
    </row>
    <row r="390" spans="1:2" ht="15" customHeight="1">
      <c r="A390" s="242"/>
      <c r="B390" s="242"/>
    </row>
    <row r="391" spans="1:2" ht="15" customHeight="1">
      <c r="A391" s="242"/>
      <c r="B391" s="242"/>
    </row>
    <row r="392" spans="1:2" ht="15" customHeight="1">
      <c r="A392" s="242"/>
      <c r="B392" s="242"/>
    </row>
    <row r="393" spans="1:2" ht="15" customHeight="1">
      <c r="A393" s="242"/>
      <c r="B393" s="242"/>
    </row>
    <row r="394" spans="1:2" ht="15" customHeight="1">
      <c r="A394" s="242"/>
      <c r="B394" s="242"/>
    </row>
    <row r="395" spans="1:2" ht="15" customHeight="1">
      <c r="A395" s="242"/>
      <c r="B395" s="242"/>
    </row>
    <row r="396" spans="1:2" ht="15" customHeight="1">
      <c r="A396" s="242"/>
      <c r="B396" s="242"/>
    </row>
    <row r="397" spans="1:2" ht="15" customHeight="1">
      <c r="A397" s="242"/>
      <c r="B397" s="242"/>
    </row>
    <row r="398" spans="1:2" ht="15" customHeight="1">
      <c r="A398" s="242"/>
      <c r="B398" s="242"/>
    </row>
    <row r="399" spans="1:2" ht="15" customHeight="1">
      <c r="A399" s="242"/>
      <c r="B399" s="242"/>
    </row>
    <row r="400" spans="1:2" ht="15" customHeight="1">
      <c r="A400" s="242"/>
      <c r="B400" s="242"/>
    </row>
    <row r="401" spans="1:2" ht="15" customHeight="1">
      <c r="A401" s="242"/>
      <c r="B401" s="242"/>
    </row>
    <row r="402" spans="1:2" ht="15" customHeight="1">
      <c r="A402" s="242"/>
      <c r="B402" s="242"/>
    </row>
    <row r="403" spans="1:2" ht="15" customHeight="1">
      <c r="A403" s="242"/>
      <c r="B403" s="242"/>
    </row>
    <row r="404" spans="1:2" ht="15" customHeight="1">
      <c r="A404" s="242"/>
      <c r="B404" s="242"/>
    </row>
    <row r="405" spans="1:2" ht="15" customHeight="1">
      <c r="A405" s="242"/>
      <c r="B405" s="242"/>
    </row>
    <row r="406" spans="1:2" ht="15" customHeight="1">
      <c r="A406" s="242"/>
      <c r="B406" s="242"/>
    </row>
    <row r="407" spans="1:2" ht="15" customHeight="1">
      <c r="A407" s="242"/>
      <c r="B407" s="242"/>
    </row>
    <row r="408" spans="1:2" ht="15" customHeight="1">
      <c r="A408" s="242"/>
      <c r="B408" s="242"/>
    </row>
    <row r="409" spans="1:2" ht="15" customHeight="1">
      <c r="A409" s="242"/>
      <c r="B409" s="242"/>
    </row>
    <row r="410" spans="1:2" ht="15" customHeight="1">
      <c r="A410" s="242"/>
      <c r="B410" s="242"/>
    </row>
    <row r="411" spans="1:2" ht="15" customHeight="1">
      <c r="A411" s="242"/>
      <c r="B411" s="242"/>
    </row>
    <row r="412" spans="1:2" ht="15" customHeight="1">
      <c r="A412" s="242"/>
      <c r="B412" s="242"/>
    </row>
    <row r="413" spans="1:2" ht="15" customHeight="1">
      <c r="A413" s="242"/>
      <c r="B413" s="242"/>
    </row>
    <row r="414" spans="1:2" ht="15" customHeight="1">
      <c r="A414" s="242"/>
      <c r="B414" s="242"/>
    </row>
    <row r="415" spans="1:2" ht="15" customHeight="1">
      <c r="A415" s="242"/>
      <c r="B415" s="242"/>
    </row>
    <row r="416" spans="1:2" ht="15" customHeight="1">
      <c r="A416" s="242"/>
      <c r="B416" s="242"/>
    </row>
    <row r="417" spans="1:2" ht="15" customHeight="1">
      <c r="A417" s="242"/>
      <c r="B417" s="242"/>
    </row>
    <row r="418" spans="1:2" ht="15" customHeight="1">
      <c r="A418" s="242"/>
      <c r="B418" s="242"/>
    </row>
    <row r="419" spans="1:2" ht="15" customHeight="1">
      <c r="A419" s="242"/>
      <c r="B419" s="242"/>
    </row>
    <row r="420" spans="1:2" ht="15" customHeight="1">
      <c r="A420" s="242"/>
      <c r="B420" s="242"/>
    </row>
    <row r="421" spans="1:2" ht="15" customHeight="1">
      <c r="A421" s="242"/>
      <c r="B421" s="242"/>
    </row>
    <row r="422" spans="1:2" ht="15" customHeight="1">
      <c r="A422" s="242"/>
      <c r="B422" s="242"/>
    </row>
    <row r="423" spans="1:2" ht="15" customHeight="1">
      <c r="A423" s="242"/>
      <c r="B423" s="242"/>
    </row>
    <row r="424" spans="1:2" ht="15" customHeight="1">
      <c r="A424" s="242"/>
      <c r="B424" s="242"/>
    </row>
    <row r="425" spans="1:2" ht="15" customHeight="1">
      <c r="A425" s="242"/>
      <c r="B425" s="242"/>
    </row>
    <row r="426" spans="1:2" ht="15" customHeight="1">
      <c r="A426" s="242"/>
      <c r="B426" s="242"/>
    </row>
    <row r="427" spans="1:2" ht="15" customHeight="1">
      <c r="A427" s="242"/>
      <c r="B427" s="242"/>
    </row>
    <row r="428" spans="1:2" ht="15" customHeight="1">
      <c r="A428" s="242"/>
      <c r="B428" s="242"/>
    </row>
    <row r="429" spans="1:2" ht="15" customHeight="1">
      <c r="A429" s="242"/>
      <c r="B429" s="242"/>
    </row>
    <row r="430" spans="1:2" ht="15" customHeight="1">
      <c r="A430" s="242"/>
      <c r="B430" s="242"/>
    </row>
    <row r="431" spans="1:2" ht="15" customHeight="1">
      <c r="A431" s="242"/>
      <c r="B431" s="242"/>
    </row>
    <row r="432" spans="1:2" ht="15" customHeight="1">
      <c r="A432" s="242"/>
      <c r="B432" s="242"/>
    </row>
    <row r="433" spans="1:2" ht="15" customHeight="1">
      <c r="A433" s="242"/>
      <c r="B433" s="242"/>
    </row>
    <row r="434" spans="1:2" ht="15" customHeight="1">
      <c r="A434" s="242"/>
      <c r="B434" s="242"/>
    </row>
    <row r="435" spans="1:2" ht="15" customHeight="1">
      <c r="A435" s="242"/>
      <c r="B435" s="242"/>
    </row>
    <row r="436" spans="1:2" ht="15" customHeight="1">
      <c r="A436" s="242"/>
      <c r="B436" s="242"/>
    </row>
    <row r="437" spans="1:2" ht="15" customHeight="1">
      <c r="A437" s="242"/>
      <c r="B437" s="242"/>
    </row>
    <row r="438" spans="1:2" ht="15" customHeight="1">
      <c r="A438" s="242"/>
      <c r="B438" s="242"/>
    </row>
    <row r="439" spans="1:2" ht="15" customHeight="1">
      <c r="A439" s="242"/>
      <c r="B439" s="242"/>
    </row>
    <row r="440" spans="1:2" ht="15" customHeight="1">
      <c r="A440" s="242"/>
      <c r="B440" s="242"/>
    </row>
    <row r="441" spans="1:2" ht="15" customHeight="1">
      <c r="A441" s="242"/>
      <c r="B441" s="242"/>
    </row>
    <row r="442" spans="1:2" ht="15" customHeight="1">
      <c r="A442" s="242"/>
      <c r="B442" s="242"/>
    </row>
    <row r="443" spans="1:2" ht="15" customHeight="1">
      <c r="A443" s="242"/>
      <c r="B443" s="242"/>
    </row>
    <row r="444" spans="1:2" ht="15" customHeight="1">
      <c r="A444" s="242"/>
      <c r="B444" s="242"/>
    </row>
    <row r="445" spans="1:2" ht="15" customHeight="1">
      <c r="A445" s="242"/>
      <c r="B445" s="242"/>
    </row>
    <row r="446" spans="1:2" ht="15" customHeight="1">
      <c r="A446" s="242"/>
      <c r="B446" s="242"/>
    </row>
    <row r="447" spans="1:2" ht="15" customHeight="1">
      <c r="A447" s="242"/>
      <c r="B447" s="242"/>
    </row>
    <row r="448" spans="1:2" ht="15" customHeight="1">
      <c r="A448" s="242"/>
      <c r="B448" s="242"/>
    </row>
    <row r="449" spans="1:2" ht="15" customHeight="1">
      <c r="A449" s="242"/>
      <c r="B449" s="242"/>
    </row>
    <row r="450" spans="1:2" ht="15" customHeight="1">
      <c r="A450" s="242"/>
      <c r="B450" s="242"/>
    </row>
    <row r="451" spans="1:2" ht="15" customHeight="1">
      <c r="A451" s="242"/>
      <c r="B451" s="242"/>
    </row>
    <row r="452" spans="1:2" ht="15" customHeight="1">
      <c r="A452" s="242"/>
      <c r="B452" s="242"/>
    </row>
    <row r="453" spans="1:2" ht="15" customHeight="1">
      <c r="A453" s="242"/>
      <c r="B453" s="242"/>
    </row>
    <row r="454" spans="1:2" ht="15" customHeight="1">
      <c r="A454" s="242"/>
      <c r="B454" s="242"/>
    </row>
    <row r="455" spans="1:2" ht="15" customHeight="1">
      <c r="A455" s="242"/>
      <c r="B455" s="242"/>
    </row>
    <row r="456" spans="1:2" ht="15" customHeight="1">
      <c r="A456" s="242"/>
      <c r="B456" s="242"/>
    </row>
    <row r="457" spans="1:2" ht="15" customHeight="1">
      <c r="A457" s="242"/>
      <c r="B457" s="242"/>
    </row>
    <row r="458" spans="1:2" ht="15" customHeight="1">
      <c r="A458" s="242"/>
      <c r="B458" s="242"/>
    </row>
    <row r="459" spans="1:2" ht="15" customHeight="1">
      <c r="A459" s="242"/>
      <c r="B459" s="242"/>
    </row>
    <row r="460" spans="1:2" ht="15" customHeight="1">
      <c r="A460" s="242"/>
      <c r="B460" s="242"/>
    </row>
    <row r="461" spans="1:2" ht="15" customHeight="1">
      <c r="A461" s="242"/>
      <c r="B461" s="242"/>
    </row>
    <row r="462" spans="1:2" ht="15" customHeight="1">
      <c r="A462" s="242"/>
      <c r="B462" s="242"/>
    </row>
    <row r="463" spans="1:2" ht="15" customHeight="1">
      <c r="A463" s="242"/>
      <c r="B463" s="242"/>
    </row>
    <row r="464" spans="1:2" ht="15" customHeight="1">
      <c r="A464" s="242"/>
      <c r="B464" s="242"/>
    </row>
    <row r="465" spans="1:2" ht="15" customHeight="1">
      <c r="A465" s="242"/>
      <c r="B465" s="242"/>
    </row>
    <row r="466" spans="1:2" ht="15" customHeight="1">
      <c r="A466" s="242"/>
      <c r="B466" s="242"/>
    </row>
    <row r="467" spans="1:2" ht="15" customHeight="1">
      <c r="A467" s="242"/>
      <c r="B467" s="242"/>
    </row>
    <row r="468" spans="1:2" ht="15" customHeight="1">
      <c r="A468" s="242"/>
      <c r="B468" s="242"/>
    </row>
    <row r="469" spans="1:2" ht="15" customHeight="1">
      <c r="A469" s="242"/>
      <c r="B469" s="242"/>
    </row>
    <row r="470" spans="1:2" ht="15" customHeight="1">
      <c r="A470" s="242"/>
      <c r="B470" s="242"/>
    </row>
    <row r="471" spans="1:2" ht="15" customHeight="1">
      <c r="A471" s="242"/>
      <c r="B471" s="242"/>
    </row>
    <row r="472" spans="1:2" ht="15" customHeight="1">
      <c r="A472" s="242"/>
      <c r="B472" s="242"/>
    </row>
    <row r="473" spans="1:2" ht="15" customHeight="1">
      <c r="A473" s="242"/>
      <c r="B473" s="242"/>
    </row>
    <row r="474" spans="1:2" ht="15" customHeight="1">
      <c r="A474" s="242"/>
      <c r="B474" s="242"/>
    </row>
    <row r="475" spans="1:2" ht="15" customHeight="1">
      <c r="A475" s="242"/>
      <c r="B475" s="242"/>
    </row>
    <row r="476" spans="1:2" ht="15" customHeight="1">
      <c r="A476" s="242"/>
      <c r="B476" s="242"/>
    </row>
    <row r="477" spans="1:2" ht="15" customHeight="1">
      <c r="A477" s="242"/>
      <c r="B477" s="242"/>
    </row>
    <row r="478" spans="1:2" ht="15" customHeight="1">
      <c r="A478" s="242"/>
      <c r="B478" s="242"/>
    </row>
    <row r="479" spans="1:2" ht="15" customHeight="1">
      <c r="A479" s="242"/>
      <c r="B479" s="242"/>
    </row>
    <row r="480" spans="1:2" ht="15" customHeight="1">
      <c r="A480" s="242"/>
      <c r="B480" s="242"/>
    </row>
    <row r="481" spans="1:2" ht="15" customHeight="1">
      <c r="A481" s="242"/>
      <c r="B481" s="242"/>
    </row>
    <row r="482" spans="1:2" ht="15" customHeight="1">
      <c r="A482" s="242"/>
      <c r="B482" s="242"/>
    </row>
    <row r="483" spans="1:2" ht="15" customHeight="1">
      <c r="A483" s="242"/>
      <c r="B483" s="242"/>
    </row>
    <row r="484" spans="1:2" ht="15" customHeight="1">
      <c r="A484" s="242"/>
      <c r="B484" s="242"/>
    </row>
    <row r="485" spans="1:2" ht="15" customHeight="1">
      <c r="A485" s="242"/>
      <c r="B485" s="242"/>
    </row>
    <row r="486" spans="1:2" ht="15" customHeight="1">
      <c r="A486" s="242"/>
      <c r="B486" s="242"/>
    </row>
    <row r="487" spans="1:2" ht="15" customHeight="1">
      <c r="A487" s="242"/>
      <c r="B487" s="242"/>
    </row>
    <row r="488" spans="1:2" ht="15" customHeight="1">
      <c r="A488" s="242"/>
      <c r="B488" s="242"/>
    </row>
    <row r="489" spans="1:2" ht="15" customHeight="1">
      <c r="A489" s="242"/>
      <c r="B489" s="242"/>
    </row>
    <row r="490" spans="1:2" ht="15" customHeight="1">
      <c r="A490" s="242"/>
      <c r="B490" s="242"/>
    </row>
    <row r="491" spans="1:2" ht="15" customHeight="1">
      <c r="A491" s="242"/>
      <c r="B491" s="242"/>
    </row>
    <row r="492" spans="1:2" ht="15" customHeight="1">
      <c r="A492" s="242"/>
      <c r="B492" s="242"/>
    </row>
    <row r="493" spans="1:2" ht="15" customHeight="1">
      <c r="A493" s="242"/>
      <c r="B493" s="242"/>
    </row>
    <row r="494" spans="1:2" ht="15" customHeight="1">
      <c r="A494" s="242"/>
      <c r="B494" s="242"/>
    </row>
    <row r="495" spans="1:2" ht="15" customHeight="1">
      <c r="A495" s="242"/>
      <c r="B495" s="242"/>
    </row>
    <row r="496" spans="1:2" ht="15" customHeight="1">
      <c r="A496" s="242"/>
      <c r="B496" s="242"/>
    </row>
    <row r="497" spans="1:2" ht="15" customHeight="1">
      <c r="A497" s="242"/>
      <c r="B497" s="242"/>
    </row>
    <row r="498" spans="1:2" ht="15" customHeight="1">
      <c r="A498" s="242"/>
      <c r="B498" s="242"/>
    </row>
    <row r="499" spans="1:2" ht="15" customHeight="1">
      <c r="A499" s="242"/>
      <c r="B499" s="242"/>
    </row>
    <row r="500" spans="1:2" ht="15" customHeight="1">
      <c r="A500" s="242"/>
      <c r="B500" s="242"/>
    </row>
    <row r="501" spans="1:2" ht="15" customHeight="1">
      <c r="A501" s="242"/>
      <c r="B501" s="242"/>
    </row>
    <row r="502" spans="1:2" ht="15" customHeight="1">
      <c r="A502" s="242"/>
      <c r="B502" s="242"/>
    </row>
    <row r="503" spans="1:2" ht="15" customHeight="1">
      <c r="A503" s="242"/>
      <c r="B503" s="242"/>
    </row>
    <row r="504" spans="1:2" ht="15" customHeight="1">
      <c r="A504" s="242"/>
      <c r="B504" s="242"/>
    </row>
    <row r="505" spans="1:2" ht="15" customHeight="1">
      <c r="A505" s="242"/>
      <c r="B505" s="242"/>
    </row>
    <row r="506" spans="1:2" ht="15" customHeight="1">
      <c r="A506" s="242"/>
      <c r="B506" s="242"/>
    </row>
    <row r="507" spans="1:2" ht="15" customHeight="1">
      <c r="A507" s="242"/>
      <c r="B507" s="242"/>
    </row>
    <row r="508" spans="1:2" ht="15" customHeight="1">
      <c r="A508" s="242"/>
      <c r="B508" s="242"/>
    </row>
    <row r="509" spans="1:2" ht="15" customHeight="1">
      <c r="A509" s="242"/>
      <c r="B509" s="242"/>
    </row>
    <row r="510" spans="1:2" ht="15" customHeight="1">
      <c r="A510" s="242"/>
      <c r="B510" s="242"/>
    </row>
    <row r="511" spans="1:2" ht="15" customHeight="1">
      <c r="A511" s="242"/>
      <c r="B511" s="242"/>
    </row>
    <row r="512" spans="1:2" ht="15" customHeight="1">
      <c r="A512" s="242"/>
      <c r="B512" s="242"/>
    </row>
    <row r="513" spans="1:2" ht="15" customHeight="1">
      <c r="A513" s="242"/>
      <c r="B513" s="242"/>
    </row>
    <row r="514" spans="1:2" ht="15" customHeight="1">
      <c r="A514" s="242"/>
      <c r="B514" s="242"/>
    </row>
    <row r="515" spans="1:2" ht="15" customHeight="1">
      <c r="A515" s="242"/>
      <c r="B515" s="242"/>
    </row>
    <row r="516" spans="1:2" ht="15" customHeight="1">
      <c r="A516" s="242"/>
      <c r="B516" s="242"/>
    </row>
    <row r="517" spans="1:2" ht="15" customHeight="1">
      <c r="A517" s="242"/>
      <c r="B517" s="242"/>
    </row>
    <row r="518" spans="1:2" ht="15" customHeight="1">
      <c r="A518" s="242"/>
      <c r="B518" s="242"/>
    </row>
    <row r="519" spans="1:2" ht="15" customHeight="1">
      <c r="A519" s="242"/>
      <c r="B519" s="242"/>
    </row>
    <row r="520" spans="1:2" ht="15" customHeight="1">
      <c r="A520" s="242"/>
      <c r="B520" s="242"/>
    </row>
    <row r="521" spans="1:2" ht="15" customHeight="1">
      <c r="A521" s="242"/>
      <c r="B521" s="242"/>
    </row>
    <row r="522" spans="1:2" ht="15" customHeight="1">
      <c r="A522" s="242"/>
      <c r="B522" s="242"/>
    </row>
    <row r="523" spans="1:2" ht="15" customHeight="1">
      <c r="A523" s="242"/>
      <c r="B523" s="242"/>
    </row>
    <row r="524" spans="1:2" ht="15" customHeight="1">
      <c r="A524" s="242"/>
      <c r="B524" s="242"/>
    </row>
    <row r="525" spans="1:2" ht="15" customHeight="1">
      <c r="A525" s="242"/>
      <c r="B525" s="242"/>
    </row>
    <row r="526" spans="1:2" ht="15" customHeight="1">
      <c r="A526" s="242"/>
      <c r="B526" s="242"/>
    </row>
    <row r="527" spans="1:2" ht="15" customHeight="1">
      <c r="A527" s="242"/>
      <c r="B527" s="242"/>
    </row>
    <row r="528" spans="1:2" ht="15" customHeight="1">
      <c r="A528" s="242"/>
      <c r="B528" s="242"/>
    </row>
    <row r="529" spans="1:2" ht="15" customHeight="1">
      <c r="A529" s="242"/>
      <c r="B529" s="242"/>
    </row>
    <row r="530" spans="1:2" ht="15" customHeight="1">
      <c r="A530" s="242"/>
      <c r="B530" s="242"/>
    </row>
    <row r="531" spans="1:2" ht="15" customHeight="1">
      <c r="A531" s="242"/>
      <c r="B531" s="242"/>
    </row>
    <row r="532" spans="1:2" ht="15" customHeight="1">
      <c r="A532" s="242"/>
      <c r="B532" s="242"/>
    </row>
    <row r="533" spans="1:2" ht="15" customHeight="1">
      <c r="A533" s="242"/>
      <c r="B533" s="242"/>
    </row>
    <row r="534" spans="1:2" ht="15" customHeight="1">
      <c r="A534" s="242"/>
      <c r="B534" s="242"/>
    </row>
    <row r="535" spans="1:2" ht="15" customHeight="1">
      <c r="A535" s="242"/>
      <c r="B535" s="242"/>
    </row>
    <row r="536" spans="1:2" ht="15" customHeight="1">
      <c r="A536" s="242"/>
      <c r="B536" s="242"/>
    </row>
    <row r="537" spans="1:2" ht="15" customHeight="1">
      <c r="A537" s="242"/>
      <c r="B537" s="242"/>
    </row>
    <row r="538" spans="1:2" ht="15" customHeight="1">
      <c r="A538" s="242"/>
      <c r="B538" s="242"/>
    </row>
    <row r="539" spans="1:2" ht="15" customHeight="1">
      <c r="A539" s="242"/>
      <c r="B539" s="242"/>
    </row>
    <row r="540" spans="1:2" ht="15" customHeight="1">
      <c r="A540" s="242"/>
      <c r="B540" s="242"/>
    </row>
    <row r="541" spans="1:2" ht="15" customHeight="1">
      <c r="A541" s="242"/>
      <c r="B541" s="242"/>
    </row>
    <row r="542" spans="1:2" ht="15" customHeight="1">
      <c r="A542" s="242"/>
      <c r="B542" s="242"/>
    </row>
    <row r="543" spans="1:2" ht="15" customHeight="1">
      <c r="A543" s="242"/>
      <c r="B543" s="242"/>
    </row>
    <row r="544" spans="1:2" ht="15" customHeight="1">
      <c r="A544" s="242"/>
      <c r="B544" s="242"/>
    </row>
    <row r="545" spans="1:2" ht="15" customHeight="1">
      <c r="A545" s="242"/>
      <c r="B545" s="242"/>
    </row>
    <row r="546" spans="1:2" ht="15" customHeight="1">
      <c r="A546" s="242"/>
      <c r="B546" s="242"/>
    </row>
    <row r="547" spans="1:2" ht="15" customHeight="1">
      <c r="A547" s="242"/>
      <c r="B547" s="242"/>
    </row>
    <row r="548" spans="1:2" ht="15" customHeight="1">
      <c r="A548" s="242"/>
      <c r="B548" s="242"/>
    </row>
    <row r="549" spans="1:2" ht="15" customHeight="1">
      <c r="A549" s="242"/>
      <c r="B549" s="242"/>
    </row>
    <row r="550" spans="1:2" ht="15" customHeight="1">
      <c r="A550" s="242"/>
      <c r="B550" s="242"/>
    </row>
    <row r="551" spans="1:2" ht="15" customHeight="1">
      <c r="A551" s="242"/>
      <c r="B551" s="242"/>
    </row>
    <row r="552" spans="1:2" ht="15" customHeight="1">
      <c r="A552" s="242"/>
      <c r="B552" s="242"/>
    </row>
    <row r="553" spans="1:2" ht="15" customHeight="1">
      <c r="A553" s="242"/>
      <c r="B553" s="242"/>
    </row>
    <row r="554" spans="1:2" ht="15" customHeight="1">
      <c r="A554" s="242"/>
      <c r="B554" s="242"/>
    </row>
    <row r="555" spans="1:2" ht="15" customHeight="1">
      <c r="A555" s="242"/>
      <c r="B555" s="242"/>
    </row>
    <row r="556" spans="1:2" ht="15" customHeight="1">
      <c r="A556" s="242"/>
      <c r="B556" s="242"/>
    </row>
    <row r="557" spans="1:2" ht="15" customHeight="1">
      <c r="A557" s="242"/>
      <c r="B557" s="242"/>
    </row>
    <row r="558" spans="1:2" ht="15" customHeight="1">
      <c r="A558" s="242"/>
      <c r="B558" s="242"/>
    </row>
    <row r="559" spans="1:2" ht="15" customHeight="1">
      <c r="A559" s="242"/>
      <c r="B559" s="242"/>
    </row>
    <row r="560" spans="1:2" ht="15" customHeight="1">
      <c r="A560" s="242"/>
      <c r="B560" s="242"/>
    </row>
    <row r="561" spans="1:2" ht="15" customHeight="1">
      <c r="A561" s="242"/>
      <c r="B561" s="242"/>
    </row>
    <row r="562" spans="1:2" ht="15" customHeight="1">
      <c r="A562" s="242"/>
      <c r="B562" s="242"/>
    </row>
    <row r="563" spans="1:2" ht="15" customHeight="1">
      <c r="A563" s="242"/>
      <c r="B563" s="242"/>
    </row>
    <row r="564" spans="1:2" ht="15" customHeight="1">
      <c r="A564" s="242"/>
      <c r="B564" s="242"/>
    </row>
    <row r="565" spans="1:2" ht="15" customHeight="1">
      <c r="A565" s="242"/>
      <c r="B565" s="242"/>
    </row>
    <row r="566" spans="1:2" ht="15" customHeight="1">
      <c r="A566" s="242"/>
      <c r="B566" s="242"/>
    </row>
    <row r="567" spans="1:2" ht="15" customHeight="1">
      <c r="A567" s="242"/>
      <c r="B567" s="242"/>
    </row>
    <row r="568" spans="1:2" ht="15" customHeight="1">
      <c r="A568" s="242"/>
      <c r="B568" s="242"/>
    </row>
    <row r="569" spans="1:2" ht="15" customHeight="1">
      <c r="A569" s="242"/>
      <c r="B569" s="242"/>
    </row>
    <row r="570" spans="1:2" ht="15" customHeight="1">
      <c r="A570" s="242"/>
      <c r="B570" s="242"/>
    </row>
    <row r="571" spans="1:2" ht="15" customHeight="1">
      <c r="A571" s="242"/>
      <c r="B571" s="242"/>
    </row>
    <row r="572" spans="1:2" ht="15" customHeight="1">
      <c r="A572" s="242"/>
      <c r="B572" s="242"/>
    </row>
    <row r="573" spans="1:2" ht="15" customHeight="1">
      <c r="A573" s="242"/>
      <c r="B573" s="242"/>
    </row>
    <row r="574" spans="1:2" ht="15" customHeight="1">
      <c r="A574" s="242"/>
      <c r="B574" s="242"/>
    </row>
    <row r="575" spans="1:2" ht="15" customHeight="1">
      <c r="A575" s="242"/>
      <c r="B575" s="242"/>
    </row>
    <row r="576" spans="1:2" ht="15" customHeight="1">
      <c r="A576" s="242"/>
      <c r="B576" s="242"/>
    </row>
    <row r="577" spans="1:2" ht="15" customHeight="1">
      <c r="A577" s="242"/>
      <c r="B577" s="242"/>
    </row>
    <row r="578" spans="1:2" ht="15" customHeight="1">
      <c r="A578" s="242"/>
      <c r="B578" s="242"/>
    </row>
    <row r="579" spans="1:2" ht="15" customHeight="1">
      <c r="A579" s="242"/>
      <c r="B579" s="242"/>
    </row>
    <row r="580" spans="1:2" ht="15" customHeight="1">
      <c r="A580" s="242"/>
      <c r="B580" s="242"/>
    </row>
    <row r="581" spans="1:2" ht="15" customHeight="1">
      <c r="A581" s="242"/>
      <c r="B581" s="242"/>
    </row>
    <row r="582" spans="1:2" ht="15" customHeight="1">
      <c r="A582" s="242"/>
      <c r="B582" s="242"/>
    </row>
    <row r="583" spans="1:2" ht="15" customHeight="1">
      <c r="A583" s="242"/>
      <c r="B583" s="242"/>
    </row>
    <row r="584" spans="1:2" ht="15" customHeight="1">
      <c r="A584" s="242"/>
      <c r="B584" s="242"/>
    </row>
    <row r="585" spans="1:2" ht="15" customHeight="1">
      <c r="A585" s="242"/>
      <c r="B585" s="242"/>
    </row>
    <row r="586" spans="1:2" ht="15" customHeight="1">
      <c r="A586" s="242"/>
      <c r="B586" s="242"/>
    </row>
    <row r="587" spans="1:2" ht="15" customHeight="1">
      <c r="A587" s="242"/>
      <c r="B587" s="242"/>
    </row>
    <row r="588" spans="1:2" ht="15" customHeight="1">
      <c r="A588" s="242"/>
      <c r="B588" s="242"/>
    </row>
    <row r="589" spans="1:2" ht="15" customHeight="1">
      <c r="A589" s="242"/>
      <c r="B589" s="242"/>
    </row>
    <row r="590" spans="1:2" ht="15" customHeight="1">
      <c r="A590" s="242"/>
      <c r="B590" s="242"/>
    </row>
    <row r="591" spans="1:2" ht="15" customHeight="1">
      <c r="A591" s="242"/>
      <c r="B591" s="242"/>
    </row>
    <row r="592" spans="1:2" ht="15" customHeight="1">
      <c r="A592" s="242"/>
      <c r="B592" s="242"/>
    </row>
    <row r="593" spans="1:2" ht="15" customHeight="1">
      <c r="A593" s="242"/>
      <c r="B593" s="242"/>
    </row>
    <row r="594" spans="1:2" ht="15" customHeight="1">
      <c r="A594" s="242"/>
      <c r="B594" s="242"/>
    </row>
    <row r="595" spans="1:2" ht="15" customHeight="1">
      <c r="A595" s="242"/>
      <c r="B595" s="242"/>
    </row>
    <row r="596" spans="1:2" ht="15" customHeight="1">
      <c r="A596" s="242"/>
      <c r="B596" s="242"/>
    </row>
    <row r="597" spans="1:2" ht="15" customHeight="1">
      <c r="A597" s="242"/>
      <c r="B597" s="242"/>
    </row>
    <row r="598" spans="1:2" ht="15" customHeight="1">
      <c r="A598" s="242"/>
      <c r="B598" s="242"/>
    </row>
    <row r="599" spans="1:2" ht="15" customHeight="1">
      <c r="A599" s="242"/>
      <c r="B599" s="242"/>
    </row>
    <row r="600" spans="1:2" ht="15" customHeight="1">
      <c r="A600" s="242"/>
      <c r="B600" s="242"/>
    </row>
    <row r="601" spans="1:2" ht="15" customHeight="1">
      <c r="A601" s="242"/>
      <c r="B601" s="242"/>
    </row>
    <row r="602" spans="1:2" ht="15" customHeight="1">
      <c r="A602" s="242"/>
      <c r="B602" s="242"/>
    </row>
    <row r="603" spans="1:2" ht="15" customHeight="1">
      <c r="A603" s="242"/>
      <c r="B603" s="242"/>
    </row>
    <row r="604" spans="1:2" ht="15" customHeight="1">
      <c r="A604" s="242"/>
      <c r="B604" s="242"/>
    </row>
    <row r="605" spans="1:2" ht="15" customHeight="1">
      <c r="A605" s="242"/>
      <c r="B605" s="242"/>
    </row>
    <row r="606" spans="1:2" ht="15" customHeight="1">
      <c r="A606" s="242"/>
      <c r="B606" s="242"/>
    </row>
    <row r="607" spans="1:2" ht="15" customHeight="1">
      <c r="A607" s="242"/>
      <c r="B607" s="242"/>
    </row>
    <row r="608" spans="1:2" ht="15" customHeight="1">
      <c r="A608" s="242"/>
      <c r="B608" s="242"/>
    </row>
    <row r="609" spans="1:2" ht="15" customHeight="1">
      <c r="A609" s="242"/>
      <c r="B609" s="242"/>
    </row>
    <row r="610" spans="1:2" ht="15" customHeight="1">
      <c r="A610" s="242"/>
      <c r="B610" s="242"/>
    </row>
    <row r="611" spans="1:2" ht="15" customHeight="1">
      <c r="A611" s="242"/>
      <c r="B611" s="242"/>
    </row>
    <row r="612" spans="1:2" ht="15" customHeight="1">
      <c r="A612" s="242"/>
      <c r="B612" s="242"/>
    </row>
    <row r="613" spans="1:2" ht="15" customHeight="1">
      <c r="A613" s="242"/>
      <c r="B613" s="242"/>
    </row>
    <row r="614" spans="1:2" ht="15" customHeight="1">
      <c r="A614" s="242"/>
      <c r="B614" s="242"/>
    </row>
    <row r="615" spans="1:2" ht="15" customHeight="1">
      <c r="A615" s="242"/>
      <c r="B615" s="242"/>
    </row>
    <row r="616" spans="1:2" ht="15" customHeight="1">
      <c r="A616" s="242"/>
      <c r="B616" s="242"/>
    </row>
    <row r="617" spans="1:2" ht="15" customHeight="1">
      <c r="A617" s="242"/>
      <c r="B617" s="242"/>
    </row>
    <row r="618" spans="1:2" ht="15" customHeight="1">
      <c r="A618" s="242"/>
      <c r="B618" s="242"/>
    </row>
    <row r="619" spans="1:2" ht="15" customHeight="1">
      <c r="A619" s="242"/>
      <c r="B619" s="242"/>
    </row>
    <row r="620" spans="1:2" ht="15" customHeight="1">
      <c r="A620" s="242"/>
      <c r="B620" s="242"/>
    </row>
    <row r="621" spans="1:2" ht="15" customHeight="1">
      <c r="A621" s="242"/>
      <c r="B621" s="242"/>
    </row>
    <row r="622" spans="1:2" ht="15" customHeight="1">
      <c r="A622" s="242"/>
      <c r="B622" s="242"/>
    </row>
    <row r="623" spans="1:2" ht="15" customHeight="1">
      <c r="A623" s="242"/>
      <c r="B623" s="242"/>
    </row>
    <row r="624" spans="1:2" ht="15" customHeight="1">
      <c r="A624" s="242"/>
      <c r="B624" s="242"/>
    </row>
    <row r="625" spans="1:2" ht="15" customHeight="1">
      <c r="A625" s="242"/>
      <c r="B625" s="242"/>
    </row>
    <row r="626" spans="1:2" ht="15" customHeight="1">
      <c r="A626" s="242"/>
      <c r="B626" s="242"/>
    </row>
    <row r="627" spans="1:2" ht="15" customHeight="1">
      <c r="A627" s="242"/>
      <c r="B627" s="242"/>
    </row>
    <row r="628" spans="1:2" ht="15" customHeight="1">
      <c r="A628" s="242"/>
      <c r="B628" s="242"/>
    </row>
    <row r="629" spans="1:2" ht="15" customHeight="1">
      <c r="A629" s="242"/>
      <c r="B629" s="242"/>
    </row>
    <row r="630" spans="1:2" ht="15" customHeight="1">
      <c r="A630" s="242"/>
      <c r="B630" s="242"/>
    </row>
    <row r="631" spans="1:2" ht="15" customHeight="1">
      <c r="A631" s="242"/>
      <c r="B631" s="242"/>
    </row>
    <row r="632" spans="1:2" ht="15" customHeight="1">
      <c r="A632" s="242"/>
      <c r="B632" s="242"/>
    </row>
    <row r="633" spans="1:2" ht="15" customHeight="1">
      <c r="A633" s="242"/>
      <c r="B633" s="242"/>
    </row>
    <row r="634" spans="1:2" ht="15" customHeight="1">
      <c r="A634" s="242"/>
      <c r="B634" s="242"/>
    </row>
    <row r="635" spans="1:2" ht="15" customHeight="1">
      <c r="A635" s="242"/>
      <c r="B635" s="242"/>
    </row>
    <row r="636" spans="1:2" ht="15" customHeight="1">
      <c r="A636" s="242"/>
      <c r="B636" s="242"/>
    </row>
    <row r="637" spans="1:2" ht="15" customHeight="1">
      <c r="A637" s="242"/>
      <c r="B637" s="242"/>
    </row>
    <row r="638" spans="1:2" ht="15" customHeight="1">
      <c r="A638" s="242"/>
      <c r="B638" s="242"/>
    </row>
    <row r="639" spans="1:2" ht="15" customHeight="1">
      <c r="A639" s="242"/>
      <c r="B639" s="242"/>
    </row>
    <row r="640" spans="1:2" ht="15" customHeight="1">
      <c r="A640" s="242"/>
      <c r="B640" s="242"/>
    </row>
    <row r="641" spans="1:2" ht="15" customHeight="1">
      <c r="A641" s="242"/>
      <c r="B641" s="242"/>
    </row>
    <row r="642" spans="1:2" ht="15" customHeight="1">
      <c r="A642" s="242"/>
      <c r="B642" s="242"/>
    </row>
    <row r="643" spans="1:2" ht="15" customHeight="1">
      <c r="A643" s="242"/>
      <c r="B643" s="242"/>
    </row>
    <row r="644" spans="1:2" ht="15" customHeight="1">
      <c r="A644" s="242"/>
      <c r="B644" s="242"/>
    </row>
    <row r="645" spans="1:2" ht="15" customHeight="1">
      <c r="A645" s="242"/>
      <c r="B645" s="242"/>
    </row>
    <row r="646" spans="1:2" ht="15" customHeight="1">
      <c r="A646" s="242"/>
      <c r="B646" s="242"/>
    </row>
    <row r="647" spans="1:2" ht="15" customHeight="1">
      <c r="A647" s="242"/>
      <c r="B647" s="242"/>
    </row>
    <row r="648" spans="1:2" ht="15" customHeight="1">
      <c r="A648" s="242"/>
      <c r="B648" s="242"/>
    </row>
    <row r="649" spans="1:2" ht="15" customHeight="1">
      <c r="A649" s="242"/>
      <c r="B649" s="242"/>
    </row>
    <row r="650" spans="1:2" ht="15" customHeight="1">
      <c r="A650" s="242"/>
      <c r="B650" s="242"/>
    </row>
    <row r="651" spans="1:2" ht="15" customHeight="1">
      <c r="A651" s="242"/>
      <c r="B651" s="242"/>
    </row>
    <row r="652" spans="1:2" ht="15" customHeight="1">
      <c r="A652" s="242"/>
      <c r="B652" s="242"/>
    </row>
    <row r="653" spans="1:2" ht="15" customHeight="1">
      <c r="A653" s="242"/>
      <c r="B653" s="242"/>
    </row>
    <row r="654" spans="1:2" ht="15" customHeight="1">
      <c r="A654" s="242"/>
      <c r="B654" s="242"/>
    </row>
    <row r="655" spans="1:2" ht="15" customHeight="1">
      <c r="A655" s="242"/>
      <c r="B655" s="242"/>
    </row>
    <row r="656" spans="1:2" ht="15" customHeight="1">
      <c r="A656" s="242"/>
      <c r="B656" s="242"/>
    </row>
    <row r="657" spans="1:2" ht="15" customHeight="1">
      <c r="A657" s="242"/>
      <c r="B657" s="242"/>
    </row>
    <row r="658" spans="1:2" ht="15" customHeight="1">
      <c r="A658" s="242"/>
      <c r="B658" s="242"/>
    </row>
    <row r="659" spans="1:2" ht="15" customHeight="1">
      <c r="A659" s="242"/>
      <c r="B659" s="242"/>
    </row>
    <row r="660" spans="1:2" ht="15" customHeight="1">
      <c r="A660" s="242"/>
      <c r="B660" s="242"/>
    </row>
    <row r="661" spans="1:2" ht="15" customHeight="1">
      <c r="A661" s="242"/>
      <c r="B661" s="242"/>
    </row>
    <row r="662" spans="1:2" ht="15" customHeight="1">
      <c r="A662" s="242"/>
      <c r="B662" s="242"/>
    </row>
    <row r="663" spans="1:2" ht="15" customHeight="1">
      <c r="A663" s="242"/>
      <c r="B663" s="242"/>
    </row>
    <row r="664" spans="1:2" ht="15" customHeight="1">
      <c r="A664" s="242"/>
      <c r="B664" s="242"/>
    </row>
    <row r="665" spans="1:2" ht="15" customHeight="1">
      <c r="A665" s="242"/>
      <c r="B665" s="242"/>
    </row>
    <row r="666" spans="1:2" ht="15" customHeight="1">
      <c r="A666" s="242"/>
      <c r="B666" s="242"/>
    </row>
    <row r="667" spans="1:2" ht="15" customHeight="1">
      <c r="A667" s="242"/>
      <c r="B667" s="242"/>
    </row>
    <row r="668" spans="1:2" ht="15" customHeight="1">
      <c r="A668" s="242"/>
      <c r="B668" s="242"/>
    </row>
    <row r="669" spans="1:2" ht="15" customHeight="1">
      <c r="A669" s="242"/>
      <c r="B669" s="242"/>
    </row>
    <row r="670" spans="1:2" ht="15" customHeight="1">
      <c r="A670" s="242"/>
      <c r="B670" s="242"/>
    </row>
    <row r="671" spans="1:2" ht="15" customHeight="1">
      <c r="A671" s="242"/>
      <c r="B671" s="242"/>
    </row>
    <row r="672" spans="1:2" ht="15" customHeight="1">
      <c r="A672" s="242"/>
      <c r="B672" s="242"/>
    </row>
    <row r="673" spans="1:2" ht="15" customHeight="1">
      <c r="A673" s="242"/>
      <c r="B673" s="242"/>
    </row>
    <row r="674" spans="1:2" ht="15" customHeight="1">
      <c r="A674" s="242"/>
      <c r="B674" s="242"/>
    </row>
    <row r="675" spans="1:2" ht="15" customHeight="1">
      <c r="A675" s="242"/>
      <c r="B675" s="242"/>
    </row>
    <row r="676" spans="1:2" ht="15" customHeight="1">
      <c r="A676" s="242"/>
      <c r="B676" s="242"/>
    </row>
    <row r="677" spans="1:2" ht="15" customHeight="1">
      <c r="A677" s="242"/>
      <c r="B677" s="242"/>
    </row>
    <row r="678" spans="1:2" ht="15" customHeight="1">
      <c r="A678" s="242"/>
      <c r="B678" s="242"/>
    </row>
    <row r="679" spans="1:2" ht="15" customHeight="1">
      <c r="A679" s="242"/>
      <c r="B679" s="242"/>
    </row>
    <row r="680" spans="1:2" ht="15" customHeight="1">
      <c r="A680" s="242"/>
      <c r="B680" s="242"/>
    </row>
    <row r="681" spans="1:2" ht="15" customHeight="1">
      <c r="A681" s="242"/>
      <c r="B681" s="242"/>
    </row>
    <row r="682" spans="1:2" ht="15" customHeight="1">
      <c r="A682" s="242"/>
      <c r="B682" s="242"/>
    </row>
    <row r="683" spans="1:2" ht="15" customHeight="1">
      <c r="A683" s="242"/>
      <c r="B683" s="242"/>
    </row>
    <row r="684" spans="1:2" ht="15" customHeight="1">
      <c r="A684" s="242"/>
      <c r="B684" s="242"/>
    </row>
    <row r="685" spans="1:2" ht="15" customHeight="1">
      <c r="A685" s="242"/>
      <c r="B685" s="242"/>
    </row>
    <row r="686" spans="1:2" ht="15" customHeight="1">
      <c r="A686" s="242"/>
      <c r="B686" s="242"/>
    </row>
    <row r="687" spans="1:2" ht="15" customHeight="1">
      <c r="A687" s="242"/>
      <c r="B687" s="242"/>
    </row>
    <row r="688" spans="1:2" ht="15" customHeight="1">
      <c r="A688" s="242"/>
      <c r="B688" s="242"/>
    </row>
    <row r="689" spans="1:2" ht="15" customHeight="1">
      <c r="A689" s="242"/>
      <c r="B689" s="242"/>
    </row>
    <row r="690" spans="1:2" ht="15" customHeight="1">
      <c r="A690" s="242"/>
      <c r="B690" s="242"/>
    </row>
    <row r="691" spans="1:2" ht="15" customHeight="1">
      <c r="A691" s="242"/>
      <c r="B691" s="242"/>
    </row>
    <row r="692" spans="1:2" ht="15" customHeight="1">
      <c r="A692" s="242"/>
      <c r="B692" s="242"/>
    </row>
    <row r="693" spans="1:2" ht="15" customHeight="1">
      <c r="A693" s="242"/>
      <c r="B693" s="242"/>
    </row>
    <row r="694" spans="1:2" ht="15" customHeight="1">
      <c r="A694" s="242"/>
      <c r="B694" s="242"/>
    </row>
    <row r="695" spans="1:2" ht="15" customHeight="1">
      <c r="A695" s="242"/>
      <c r="B695" s="242"/>
    </row>
    <row r="696" spans="1:2" ht="15" customHeight="1">
      <c r="A696" s="242"/>
      <c r="B696" s="242"/>
    </row>
    <row r="697" spans="1:2" ht="15" customHeight="1">
      <c r="A697" s="242"/>
      <c r="B697" s="242"/>
    </row>
    <row r="698" spans="1:2" ht="15" customHeight="1">
      <c r="A698" s="242"/>
      <c r="B698" s="242"/>
    </row>
    <row r="699" spans="1:2" ht="15" customHeight="1">
      <c r="A699" s="242"/>
      <c r="B699" s="242"/>
    </row>
    <row r="700" spans="1:2" ht="15" customHeight="1">
      <c r="A700" s="242"/>
      <c r="B700" s="242"/>
    </row>
    <row r="701" spans="1:2" ht="15" customHeight="1">
      <c r="A701" s="242"/>
      <c r="B701" s="242"/>
    </row>
    <row r="702" spans="1:2" ht="15" customHeight="1">
      <c r="A702" s="242"/>
      <c r="B702" s="242"/>
    </row>
    <row r="703" spans="1:2" ht="15" customHeight="1">
      <c r="A703" s="242"/>
      <c r="B703" s="242"/>
    </row>
    <row r="704" spans="1:2" ht="15" customHeight="1">
      <c r="A704" s="242"/>
      <c r="B704" s="242"/>
    </row>
    <row r="705" spans="1:2" ht="15" customHeight="1">
      <c r="A705" s="242"/>
      <c r="B705" s="242"/>
    </row>
    <row r="706" spans="1:2" ht="15" customHeight="1">
      <c r="A706" s="242"/>
      <c r="B706" s="242"/>
    </row>
    <row r="707" spans="1:2" ht="15" customHeight="1">
      <c r="A707" s="242"/>
      <c r="B707" s="242"/>
    </row>
    <row r="708" spans="1:2" ht="15" customHeight="1">
      <c r="A708" s="242"/>
      <c r="B708" s="242"/>
    </row>
    <row r="709" spans="1:2" ht="15" customHeight="1">
      <c r="A709" s="242"/>
      <c r="B709" s="242"/>
    </row>
    <row r="710" spans="1:2" ht="15" customHeight="1">
      <c r="A710" s="242"/>
      <c r="B710" s="242"/>
    </row>
    <row r="711" spans="1:2" ht="15" customHeight="1">
      <c r="A711" s="242"/>
      <c r="B711" s="242"/>
    </row>
    <row r="712" spans="1:2" ht="15" customHeight="1">
      <c r="A712" s="242"/>
      <c r="B712" s="242"/>
    </row>
    <row r="713" spans="1:2" ht="15" customHeight="1">
      <c r="A713" s="242"/>
      <c r="B713" s="242"/>
    </row>
    <row r="714" spans="1:2" ht="15" customHeight="1">
      <c r="A714" s="242"/>
      <c r="B714" s="242"/>
    </row>
    <row r="715" spans="1:2" ht="15" customHeight="1">
      <c r="A715" s="242"/>
      <c r="B715" s="242"/>
    </row>
    <row r="716" spans="1:2" ht="15" customHeight="1">
      <c r="A716" s="242"/>
      <c r="B716" s="242"/>
    </row>
    <row r="717" spans="1:2" ht="15" customHeight="1">
      <c r="A717" s="242"/>
      <c r="B717" s="242"/>
    </row>
    <row r="718" spans="1:2" ht="15" customHeight="1">
      <c r="A718" s="242"/>
      <c r="B718" s="242"/>
    </row>
    <row r="719" spans="1:2" ht="15" customHeight="1">
      <c r="A719" s="242"/>
      <c r="B719" s="242"/>
    </row>
    <row r="720" spans="1:2" ht="15" customHeight="1">
      <c r="A720" s="242"/>
      <c r="B720" s="242"/>
    </row>
    <row r="721" spans="1:2" ht="15" customHeight="1">
      <c r="A721" s="242"/>
      <c r="B721" s="242"/>
    </row>
    <row r="722" spans="1:2" ht="15" customHeight="1">
      <c r="A722" s="242"/>
      <c r="B722" s="242"/>
    </row>
    <row r="723" spans="1:2" ht="15" customHeight="1">
      <c r="A723" s="242"/>
      <c r="B723" s="242"/>
    </row>
    <row r="724" spans="1:2" ht="15" customHeight="1">
      <c r="A724" s="242"/>
      <c r="B724" s="242"/>
    </row>
    <row r="725" spans="1:2" ht="15" customHeight="1">
      <c r="A725" s="242"/>
      <c r="B725" s="242"/>
    </row>
    <row r="726" spans="1:2" ht="15" customHeight="1">
      <c r="A726" s="242"/>
      <c r="B726" s="242"/>
    </row>
    <row r="727" spans="1:2" ht="15" customHeight="1">
      <c r="A727" s="242"/>
      <c r="B727" s="242"/>
    </row>
    <row r="728" spans="1:2" ht="15" customHeight="1">
      <c r="A728" s="242"/>
      <c r="B728" s="242"/>
    </row>
    <row r="729" spans="1:2" ht="15" customHeight="1">
      <c r="A729" s="242"/>
      <c r="B729" s="242"/>
    </row>
    <row r="730" spans="1:2" ht="15" customHeight="1">
      <c r="A730" s="242"/>
      <c r="B730" s="242"/>
    </row>
    <row r="731" spans="1:2" ht="15" customHeight="1">
      <c r="A731" s="242"/>
      <c r="B731" s="242"/>
    </row>
    <row r="732" spans="1:2" ht="15" customHeight="1">
      <c r="A732" s="242"/>
      <c r="B732" s="242"/>
    </row>
    <row r="733" spans="1:2" ht="15" customHeight="1">
      <c r="A733" s="242"/>
      <c r="B733" s="242"/>
    </row>
    <row r="734" spans="1:2" ht="15" customHeight="1">
      <c r="A734" s="242"/>
      <c r="B734" s="242"/>
    </row>
    <row r="735" spans="1:2" ht="15" customHeight="1">
      <c r="A735" s="242"/>
      <c r="B735" s="242"/>
    </row>
    <row r="736" spans="1:2" ht="15" customHeight="1">
      <c r="A736" s="242"/>
      <c r="B736" s="242"/>
    </row>
    <row r="737" spans="1:2" ht="15" customHeight="1">
      <c r="A737" s="242"/>
      <c r="B737" s="242"/>
    </row>
    <row r="738" spans="1:2" ht="15" customHeight="1">
      <c r="A738" s="242"/>
      <c r="B738" s="242"/>
    </row>
    <row r="739" spans="1:2" ht="15" customHeight="1">
      <c r="A739" s="242"/>
      <c r="B739" s="242"/>
    </row>
    <row r="740" spans="1:2" ht="15" customHeight="1">
      <c r="A740" s="242"/>
      <c r="B740" s="242"/>
    </row>
    <row r="741" spans="1:2" ht="15" customHeight="1">
      <c r="A741" s="242"/>
      <c r="B741" s="242"/>
    </row>
    <row r="742" spans="1:2" ht="15" customHeight="1">
      <c r="A742" s="242"/>
      <c r="B742" s="242"/>
    </row>
    <row r="743" spans="1:2" ht="15" customHeight="1">
      <c r="A743" s="242"/>
      <c r="B743" s="242"/>
    </row>
    <row r="744" spans="1:2" ht="15" customHeight="1">
      <c r="A744" s="242"/>
      <c r="B744" s="242"/>
    </row>
    <row r="745" spans="1:2" ht="15" customHeight="1">
      <c r="A745" s="242"/>
      <c r="B745" s="242"/>
    </row>
    <row r="746" spans="1:2" ht="15" customHeight="1">
      <c r="A746" s="242"/>
      <c r="B746" s="242"/>
    </row>
    <row r="747" spans="1:2" ht="15" customHeight="1">
      <c r="A747" s="242"/>
      <c r="B747" s="242"/>
    </row>
    <row r="748" spans="1:2" ht="15" customHeight="1">
      <c r="A748" s="242"/>
      <c r="B748" s="242"/>
    </row>
    <row r="749" spans="1:2" ht="15" customHeight="1">
      <c r="A749" s="242"/>
      <c r="B749" s="242"/>
    </row>
    <row r="750" spans="1:2" ht="15" customHeight="1">
      <c r="A750" s="242"/>
      <c r="B750" s="242"/>
    </row>
    <row r="751" spans="1:2" ht="15" customHeight="1">
      <c r="A751" s="242"/>
      <c r="B751" s="242"/>
    </row>
    <row r="752" spans="1:2" ht="15" customHeight="1">
      <c r="A752" s="242"/>
      <c r="B752" s="242"/>
    </row>
    <row r="753" spans="1:2" ht="15" customHeight="1">
      <c r="A753" s="242"/>
      <c r="B753" s="242"/>
    </row>
    <row r="754" spans="1:2" ht="15" customHeight="1">
      <c r="A754" s="242"/>
      <c r="B754" s="242"/>
    </row>
    <row r="755" spans="1:2" ht="15" customHeight="1">
      <c r="A755" s="242"/>
      <c r="B755" s="242"/>
    </row>
    <row r="756" spans="1:2" ht="15" customHeight="1">
      <c r="A756" s="242"/>
      <c r="B756" s="242"/>
    </row>
    <row r="757" spans="1:2" ht="15" customHeight="1">
      <c r="A757" s="242"/>
      <c r="B757" s="242"/>
    </row>
    <row r="758" spans="1:2" ht="15" customHeight="1">
      <c r="A758" s="242"/>
      <c r="B758" s="242"/>
    </row>
    <row r="759" spans="1:2" ht="15" customHeight="1">
      <c r="A759" s="242"/>
      <c r="B759" s="242"/>
    </row>
    <row r="760" spans="1:2" ht="15" customHeight="1">
      <c r="A760" s="242"/>
      <c r="B760" s="242"/>
    </row>
    <row r="761" spans="1:2" ht="15" customHeight="1">
      <c r="A761" s="242"/>
      <c r="B761" s="242"/>
    </row>
    <row r="762" spans="1:2" ht="15" customHeight="1">
      <c r="A762" s="242"/>
      <c r="B762" s="242"/>
    </row>
    <row r="763" spans="1:2" ht="15" customHeight="1">
      <c r="A763" s="242"/>
      <c r="B763" s="242"/>
    </row>
    <row r="764" spans="1:2" ht="15" customHeight="1">
      <c r="A764" s="242"/>
      <c r="B764" s="242"/>
    </row>
    <row r="765" spans="1:2" ht="15" customHeight="1">
      <c r="A765" s="242"/>
      <c r="B765" s="242"/>
    </row>
    <row r="766" spans="1:2" ht="15" customHeight="1">
      <c r="A766" s="242"/>
      <c r="B766" s="242"/>
    </row>
    <row r="767" spans="1:2" ht="15" customHeight="1">
      <c r="A767" s="242"/>
      <c r="B767" s="242"/>
    </row>
    <row r="768" spans="1:2" ht="15" customHeight="1">
      <c r="A768" s="242"/>
      <c r="B768" s="242"/>
    </row>
    <row r="769" spans="1:2" ht="15" customHeight="1">
      <c r="A769" s="242"/>
      <c r="B769" s="242"/>
    </row>
    <row r="770" spans="1:2" ht="15" customHeight="1">
      <c r="A770" s="242"/>
      <c r="B770" s="242"/>
    </row>
    <row r="771" spans="1:2" ht="15" customHeight="1">
      <c r="A771" s="242"/>
      <c r="B771" s="242"/>
    </row>
    <row r="772" spans="1:2" ht="15" customHeight="1">
      <c r="A772" s="242"/>
      <c r="B772" s="242"/>
    </row>
    <row r="773" spans="1:2" ht="15" customHeight="1">
      <c r="A773" s="242"/>
      <c r="B773" s="242"/>
    </row>
    <row r="774" spans="1:2" ht="15" customHeight="1">
      <c r="A774" s="242"/>
      <c r="B774" s="242"/>
    </row>
    <row r="775" spans="1:2" ht="15" customHeight="1">
      <c r="A775" s="242"/>
      <c r="B775" s="242"/>
    </row>
    <row r="776" spans="1:2" ht="15" customHeight="1">
      <c r="A776" s="242"/>
      <c r="B776" s="242"/>
    </row>
    <row r="777" spans="1:2" ht="15" customHeight="1">
      <c r="A777" s="242"/>
      <c r="B777" s="242"/>
    </row>
    <row r="778" spans="1:2" ht="15" customHeight="1">
      <c r="A778" s="242"/>
      <c r="B778" s="242"/>
    </row>
    <row r="779" spans="1:2" ht="15" customHeight="1">
      <c r="A779" s="242"/>
      <c r="B779" s="242"/>
    </row>
    <row r="780" spans="1:2" ht="15" customHeight="1">
      <c r="A780" s="242"/>
      <c r="B780" s="242"/>
    </row>
    <row r="781" spans="1:2" ht="15" customHeight="1">
      <c r="A781" s="242"/>
      <c r="B781" s="242"/>
    </row>
    <row r="782" spans="1:2" ht="15" customHeight="1">
      <c r="A782" s="242"/>
      <c r="B782" s="242"/>
    </row>
    <row r="783" spans="1:2" ht="15" customHeight="1">
      <c r="A783" s="242"/>
      <c r="B783" s="242"/>
    </row>
    <row r="784" spans="1:2" ht="15" customHeight="1">
      <c r="A784" s="242"/>
      <c r="B784" s="242"/>
    </row>
    <row r="785" spans="1:2" ht="15" customHeight="1">
      <c r="A785" s="242"/>
      <c r="B785" s="242"/>
    </row>
    <row r="786" spans="1:2" ht="15" customHeight="1">
      <c r="A786" s="242"/>
      <c r="B786" s="242"/>
    </row>
    <row r="787" spans="1:2" ht="15" customHeight="1">
      <c r="A787" s="242"/>
      <c r="B787" s="242"/>
    </row>
    <row r="788" spans="1:2" ht="15" customHeight="1">
      <c r="A788" s="242"/>
      <c r="B788" s="242"/>
    </row>
    <row r="789" spans="1:2" ht="15" customHeight="1">
      <c r="A789" s="242"/>
      <c r="B789" s="242"/>
    </row>
    <row r="790" spans="1:2" ht="15" customHeight="1">
      <c r="A790" s="242"/>
      <c r="B790" s="242"/>
    </row>
    <row r="791" spans="1:2" ht="15" customHeight="1">
      <c r="A791" s="242"/>
      <c r="B791" s="242"/>
    </row>
    <row r="792" spans="1:2" ht="15" customHeight="1">
      <c r="A792" s="242"/>
      <c r="B792" s="242"/>
    </row>
    <row r="793" spans="1:2" ht="15" customHeight="1">
      <c r="A793" s="242"/>
      <c r="B793" s="242"/>
    </row>
    <row r="794" spans="1:2" ht="15" customHeight="1">
      <c r="A794" s="242"/>
      <c r="B794" s="242"/>
    </row>
    <row r="795" spans="1:2" ht="15" customHeight="1">
      <c r="A795" s="242"/>
      <c r="B795" s="242"/>
    </row>
    <row r="796" spans="1:2" ht="15" customHeight="1">
      <c r="A796" s="242"/>
      <c r="B796" s="242"/>
    </row>
    <row r="797" spans="1:2" ht="15" customHeight="1">
      <c r="A797" s="242"/>
      <c r="B797" s="242"/>
    </row>
    <row r="798" spans="1:2" ht="15" customHeight="1">
      <c r="A798" s="242"/>
      <c r="B798" s="242"/>
    </row>
    <row r="799" spans="1:2" ht="15" customHeight="1">
      <c r="A799" s="242"/>
      <c r="B799" s="242"/>
    </row>
    <row r="800" spans="1:2" ht="15" customHeight="1">
      <c r="A800" s="242"/>
      <c r="B800" s="242"/>
    </row>
    <row r="801" spans="1:2" ht="15" customHeight="1">
      <c r="A801" s="242"/>
      <c r="B801" s="242"/>
    </row>
    <row r="802" spans="1:2" ht="15" customHeight="1">
      <c r="A802" s="242"/>
      <c r="B802" s="242"/>
    </row>
    <row r="803" spans="1:2" ht="15" customHeight="1">
      <c r="A803" s="242"/>
      <c r="B803" s="242"/>
    </row>
    <row r="804" spans="1:2" ht="15" customHeight="1">
      <c r="A804" s="242"/>
      <c r="B804" s="242"/>
    </row>
    <row r="805" spans="1:2" ht="15" customHeight="1">
      <c r="A805" s="242"/>
      <c r="B805" s="242"/>
    </row>
    <row r="806" spans="1:2" ht="15" customHeight="1">
      <c r="A806" s="242"/>
      <c r="B806" s="242"/>
    </row>
    <row r="807" spans="1:2" ht="15" customHeight="1">
      <c r="A807" s="242"/>
      <c r="B807" s="242"/>
    </row>
    <row r="808" spans="1:2" ht="15" customHeight="1">
      <c r="A808" s="242"/>
      <c r="B808" s="242"/>
    </row>
    <row r="809" spans="1:2" ht="15" customHeight="1">
      <c r="A809" s="242"/>
      <c r="B809" s="242"/>
    </row>
    <row r="810" spans="1:2" ht="15" customHeight="1">
      <c r="A810" s="242"/>
      <c r="B810" s="242"/>
    </row>
    <row r="811" spans="1:2" ht="15" customHeight="1">
      <c r="A811" s="242"/>
      <c r="B811" s="242"/>
    </row>
    <row r="812" spans="1:2" ht="15" customHeight="1">
      <c r="A812" s="242"/>
      <c r="B812" s="242"/>
    </row>
    <row r="813" spans="1:2" ht="15" customHeight="1">
      <c r="A813" s="242"/>
      <c r="B813" s="242"/>
    </row>
    <row r="814" spans="1:2" ht="15" customHeight="1">
      <c r="A814" s="242"/>
      <c r="B814" s="242"/>
    </row>
    <row r="815" spans="1:2" ht="15" customHeight="1">
      <c r="A815" s="242"/>
      <c r="B815" s="242"/>
    </row>
    <row r="816" spans="1:2" ht="15" customHeight="1">
      <c r="A816" s="242"/>
      <c r="B816" s="242"/>
    </row>
    <row r="817" spans="1:2" ht="15" customHeight="1">
      <c r="A817" s="242"/>
      <c r="B817" s="242"/>
    </row>
    <row r="818" spans="1:2" ht="15" customHeight="1">
      <c r="A818" s="242"/>
      <c r="B818" s="242"/>
    </row>
    <row r="819" spans="1:2" ht="15" customHeight="1">
      <c r="A819" s="242"/>
      <c r="B819" s="242"/>
    </row>
    <row r="820" spans="1:2" ht="15" customHeight="1">
      <c r="A820" s="242"/>
      <c r="B820" s="242"/>
    </row>
    <row r="821" spans="1:2" ht="15" customHeight="1">
      <c r="A821" s="242"/>
      <c r="B821" s="242"/>
    </row>
    <row r="822" spans="1:2" ht="15" customHeight="1">
      <c r="A822" s="242"/>
      <c r="B822" s="242"/>
    </row>
    <row r="823" spans="1:2" ht="15" customHeight="1">
      <c r="A823" s="242"/>
      <c r="B823" s="242"/>
    </row>
    <row r="824" spans="1:2" ht="15" customHeight="1">
      <c r="A824" s="242"/>
      <c r="B824" s="242"/>
    </row>
    <row r="825" spans="1:2" ht="15" customHeight="1">
      <c r="A825" s="242"/>
      <c r="B825" s="242"/>
    </row>
    <row r="826" spans="1:2" ht="15" customHeight="1">
      <c r="A826" s="242"/>
      <c r="B826" s="242"/>
    </row>
    <row r="827" spans="1:2" ht="15" customHeight="1">
      <c r="A827" s="242"/>
      <c r="B827" s="242"/>
    </row>
    <row r="828" spans="1:2" ht="15" customHeight="1">
      <c r="A828" s="242"/>
      <c r="B828" s="242"/>
    </row>
    <row r="829" spans="1:2" ht="15" customHeight="1">
      <c r="A829" s="242"/>
      <c r="B829" s="242"/>
    </row>
    <row r="830" spans="1:2" ht="15" customHeight="1">
      <c r="A830" s="242"/>
      <c r="B830" s="242"/>
    </row>
    <row r="831" spans="1:2" ht="15" customHeight="1">
      <c r="A831" s="242"/>
      <c r="B831" s="242"/>
    </row>
    <row r="832" spans="1:2" ht="15" customHeight="1">
      <c r="A832" s="242"/>
      <c r="B832" s="242"/>
    </row>
    <row r="833" spans="1:2" ht="15" customHeight="1">
      <c r="A833" s="242"/>
      <c r="B833" s="242"/>
    </row>
    <row r="834" spans="1:2" ht="15" customHeight="1">
      <c r="A834" s="242"/>
      <c r="B834" s="242"/>
    </row>
    <row r="835" spans="1:2" ht="15" customHeight="1">
      <c r="A835" s="242"/>
      <c r="B835" s="242"/>
    </row>
    <row r="836" spans="1:2" ht="15" customHeight="1">
      <c r="A836" s="242"/>
      <c r="B836" s="242"/>
    </row>
    <row r="837" spans="1:2" ht="15" customHeight="1">
      <c r="A837" s="242"/>
      <c r="B837" s="242"/>
    </row>
    <row r="838" spans="1:2" ht="15" customHeight="1">
      <c r="A838" s="242"/>
      <c r="B838" s="242"/>
    </row>
    <row r="839" spans="1:2" ht="15" customHeight="1">
      <c r="A839" s="242"/>
      <c r="B839" s="242"/>
    </row>
    <row r="840" spans="1:2" ht="15" customHeight="1">
      <c r="A840" s="242"/>
      <c r="B840" s="242"/>
    </row>
    <row r="841" spans="1:2" ht="15" customHeight="1">
      <c r="A841" s="242"/>
      <c r="B841" s="242"/>
    </row>
    <row r="842" spans="1:2" ht="15" customHeight="1">
      <c r="A842" s="242"/>
      <c r="B842" s="242"/>
    </row>
    <row r="843" spans="1:2" ht="15" customHeight="1">
      <c r="A843" s="242"/>
      <c r="B843" s="242"/>
    </row>
    <row r="844" spans="1:2" ht="15" customHeight="1">
      <c r="A844" s="242"/>
      <c r="B844" s="242"/>
    </row>
    <row r="845" spans="1:2" ht="15" customHeight="1">
      <c r="A845" s="242"/>
      <c r="B845" s="242"/>
    </row>
    <row r="846" spans="1:2" ht="15" customHeight="1">
      <c r="A846" s="242"/>
      <c r="B846" s="242"/>
    </row>
    <row r="847" spans="1:2" ht="15" customHeight="1">
      <c r="A847" s="242"/>
      <c r="B847" s="242"/>
    </row>
    <row r="848" spans="1:2" ht="15" customHeight="1">
      <c r="A848" s="242"/>
      <c r="B848" s="242"/>
    </row>
    <row r="849" spans="1:2" ht="15" customHeight="1">
      <c r="A849" s="242"/>
      <c r="B849" s="242"/>
    </row>
    <row r="850" spans="1:2" ht="15" customHeight="1">
      <c r="A850" s="242"/>
      <c r="B850" s="242"/>
    </row>
    <row r="851" spans="1:2" ht="15" customHeight="1">
      <c r="A851" s="242"/>
      <c r="B851" s="242"/>
    </row>
    <row r="852" spans="1:2" ht="15" customHeight="1">
      <c r="A852" s="242"/>
      <c r="B852" s="242"/>
    </row>
    <row r="853" spans="1:2" ht="15" customHeight="1">
      <c r="A853" s="242"/>
      <c r="B853" s="242"/>
    </row>
    <row r="854" spans="1:2" ht="15" customHeight="1">
      <c r="A854" s="242"/>
      <c r="B854" s="242"/>
    </row>
    <row r="855" spans="1:2" ht="15" customHeight="1">
      <c r="A855" s="242"/>
      <c r="B855" s="242"/>
    </row>
    <row r="856" spans="1:2" ht="15" customHeight="1">
      <c r="A856" s="242"/>
      <c r="B856" s="242"/>
    </row>
    <row r="857" spans="1:2" ht="15" customHeight="1">
      <c r="A857" s="242"/>
      <c r="B857" s="242"/>
    </row>
    <row r="858" spans="1:2" ht="15" customHeight="1">
      <c r="A858" s="242"/>
      <c r="B858" s="242"/>
    </row>
    <row r="859" spans="1:2" ht="15" customHeight="1">
      <c r="A859" s="242"/>
      <c r="B859" s="242"/>
    </row>
    <row r="860" spans="1:2" ht="15" customHeight="1">
      <c r="A860" s="242"/>
      <c r="B860" s="242"/>
    </row>
    <row r="861" spans="1:2" ht="15" customHeight="1">
      <c r="A861" s="242"/>
      <c r="B861" s="242"/>
    </row>
    <row r="862" spans="1:2" ht="15" customHeight="1">
      <c r="A862" s="242"/>
      <c r="B862" s="242"/>
    </row>
    <row r="863" spans="1:2" ht="15" customHeight="1">
      <c r="A863" s="242"/>
      <c r="B863" s="242"/>
    </row>
    <row r="864" spans="1:2" ht="15" customHeight="1">
      <c r="A864" s="242"/>
      <c r="B864" s="242"/>
    </row>
    <row r="865" spans="1:2" ht="15" customHeight="1">
      <c r="A865" s="242"/>
      <c r="B865" s="242"/>
    </row>
    <row r="866" spans="1:2" ht="15" customHeight="1">
      <c r="A866" s="242"/>
      <c r="B866" s="242"/>
    </row>
    <row r="867" spans="1:2" ht="15" customHeight="1">
      <c r="A867" s="242"/>
      <c r="B867" s="242"/>
    </row>
    <row r="868" spans="1:2" ht="15" customHeight="1">
      <c r="A868" s="242"/>
      <c r="B868" s="242"/>
    </row>
    <row r="869" spans="1:2" ht="15" customHeight="1">
      <c r="A869" s="242"/>
      <c r="B869" s="242"/>
    </row>
    <row r="870" spans="1:2" ht="15" customHeight="1">
      <c r="A870" s="242"/>
      <c r="B870" s="242"/>
    </row>
    <row r="871" spans="1:2" ht="15" customHeight="1">
      <c r="A871" s="242"/>
      <c r="B871" s="242"/>
    </row>
    <row r="872" spans="1:2" ht="15" customHeight="1">
      <c r="A872" s="242"/>
      <c r="B872" s="242"/>
    </row>
    <row r="873" spans="1:2" ht="15" customHeight="1">
      <c r="A873" s="242"/>
      <c r="B873" s="242"/>
    </row>
    <row r="874" spans="1:2" ht="15" customHeight="1">
      <c r="A874" s="242"/>
      <c r="B874" s="242"/>
    </row>
    <row r="875" spans="1:2" ht="15" customHeight="1">
      <c r="A875" s="242"/>
      <c r="B875" s="242"/>
    </row>
    <row r="876" spans="1:2" ht="15" customHeight="1">
      <c r="A876" s="242"/>
      <c r="B876" s="242"/>
    </row>
    <row r="877" spans="1:2" ht="15" customHeight="1">
      <c r="A877" s="242"/>
      <c r="B877" s="242"/>
    </row>
    <row r="878" spans="1:2" ht="15" customHeight="1">
      <c r="A878" s="242"/>
      <c r="B878" s="242"/>
    </row>
    <row r="879" spans="1:2" ht="15" customHeight="1">
      <c r="A879" s="242"/>
      <c r="B879" s="242"/>
    </row>
    <row r="880" spans="1:2" ht="15" customHeight="1">
      <c r="A880" s="242"/>
      <c r="B880" s="242"/>
    </row>
    <row r="881" spans="1:2" ht="15" customHeight="1">
      <c r="A881" s="242"/>
      <c r="B881" s="242"/>
    </row>
    <row r="882" spans="1:2" ht="15" customHeight="1">
      <c r="A882" s="242"/>
      <c r="B882" s="242"/>
    </row>
    <row r="883" spans="1:2" ht="15" customHeight="1">
      <c r="A883" s="242"/>
      <c r="B883" s="242"/>
    </row>
    <row r="884" spans="1:2" ht="15" customHeight="1">
      <c r="A884" s="242"/>
      <c r="B884" s="242"/>
    </row>
    <row r="885" spans="1:2" ht="15" customHeight="1">
      <c r="A885" s="242"/>
      <c r="B885" s="242"/>
    </row>
    <row r="886" spans="1:2" ht="15" customHeight="1">
      <c r="A886" s="242"/>
      <c r="B886" s="242"/>
    </row>
    <row r="887" spans="1:2" ht="15" customHeight="1">
      <c r="A887" s="242"/>
      <c r="B887" s="242"/>
    </row>
    <row r="888" spans="1:2" ht="15" customHeight="1">
      <c r="A888" s="242"/>
      <c r="B888" s="242"/>
    </row>
    <row r="889" spans="1:2" ht="15" customHeight="1">
      <c r="A889" s="242"/>
      <c r="B889" s="242"/>
    </row>
    <row r="890" spans="1:2" ht="15" customHeight="1">
      <c r="A890" s="242"/>
      <c r="B890" s="242"/>
    </row>
    <row r="891" spans="1:2" ht="15" customHeight="1">
      <c r="A891" s="242"/>
      <c r="B891" s="242"/>
    </row>
    <row r="892" spans="1:2" ht="15" customHeight="1">
      <c r="A892" s="242"/>
      <c r="B892" s="242"/>
    </row>
    <row r="893" spans="1:2" ht="15" customHeight="1">
      <c r="A893" s="242"/>
      <c r="B893" s="242"/>
    </row>
    <row r="894" spans="1:2" ht="15" customHeight="1">
      <c r="A894" s="242"/>
      <c r="B894" s="242"/>
    </row>
    <row r="895" spans="1:2" ht="15" customHeight="1">
      <c r="A895" s="242"/>
      <c r="B895" s="242"/>
    </row>
    <row r="896" spans="1:2" ht="15" customHeight="1">
      <c r="A896" s="242"/>
      <c r="B896" s="242"/>
    </row>
    <row r="897" spans="1:2" ht="15" customHeight="1">
      <c r="A897" s="242"/>
      <c r="B897" s="242"/>
    </row>
    <row r="898" spans="1:2" ht="15" customHeight="1">
      <c r="A898" s="242"/>
      <c r="B898" s="242"/>
    </row>
    <row r="899" spans="1:2" ht="15" customHeight="1">
      <c r="A899" s="242"/>
      <c r="B899" s="242"/>
    </row>
    <row r="900" spans="1:2" ht="15" customHeight="1">
      <c r="A900" s="242"/>
      <c r="B900" s="242"/>
    </row>
    <row r="901" spans="1:2" ht="15" customHeight="1">
      <c r="A901" s="242"/>
      <c r="B901" s="242"/>
    </row>
    <row r="902" spans="1:2" ht="15" customHeight="1">
      <c r="A902" s="242"/>
      <c r="B902" s="242"/>
    </row>
    <row r="903" spans="1:2" ht="15" customHeight="1">
      <c r="A903" s="242"/>
      <c r="B903" s="242"/>
    </row>
    <row r="904" spans="1:2" ht="15" customHeight="1">
      <c r="A904" s="242"/>
      <c r="B904" s="242"/>
    </row>
    <row r="905" spans="1:2" ht="15" customHeight="1">
      <c r="A905" s="242"/>
      <c r="B905" s="242"/>
    </row>
    <row r="906" spans="1:2" ht="15" customHeight="1">
      <c r="A906" s="242"/>
      <c r="B906" s="242"/>
    </row>
    <row r="907" spans="1:2" ht="15" customHeight="1">
      <c r="A907" s="242"/>
      <c r="B907" s="242"/>
    </row>
    <row r="908" spans="1:2" ht="15" customHeight="1">
      <c r="A908" s="242"/>
      <c r="B908" s="242"/>
    </row>
    <row r="909" spans="1:2" ht="15" customHeight="1">
      <c r="A909" s="242"/>
      <c r="B909" s="242"/>
    </row>
    <row r="910" spans="1:2" ht="15" customHeight="1">
      <c r="A910" s="242"/>
      <c r="B910" s="242"/>
    </row>
    <row r="911" spans="1:2" ht="15" customHeight="1">
      <c r="A911" s="242"/>
      <c r="B911" s="242"/>
    </row>
    <row r="912" spans="1:2" ht="15" customHeight="1">
      <c r="A912" s="242"/>
      <c r="B912" s="242"/>
    </row>
    <row r="913" spans="1:2" ht="15" customHeight="1">
      <c r="A913" s="242"/>
      <c r="B913" s="242"/>
    </row>
    <row r="914" spans="1:2" ht="15" customHeight="1">
      <c r="A914" s="242"/>
      <c r="B914" s="242"/>
    </row>
    <row r="915" spans="1:2" ht="15" customHeight="1">
      <c r="A915" s="242"/>
      <c r="B915" s="242"/>
    </row>
    <row r="916" spans="1:2" ht="15" customHeight="1">
      <c r="A916" s="242"/>
      <c r="B916" s="242"/>
    </row>
    <row r="917" spans="1:2" ht="15" customHeight="1">
      <c r="A917" s="242"/>
      <c r="B917" s="242"/>
    </row>
    <row r="918" spans="1:2" ht="15" customHeight="1">
      <c r="A918" s="242"/>
      <c r="B918" s="242"/>
    </row>
    <row r="919" spans="1:2" ht="15" customHeight="1">
      <c r="A919" s="242"/>
      <c r="B919" s="242"/>
    </row>
    <row r="920" spans="1:2" ht="15" customHeight="1">
      <c r="A920" s="242"/>
      <c r="B920" s="242"/>
    </row>
    <row r="921" spans="1:2" ht="15" customHeight="1">
      <c r="A921" s="242"/>
      <c r="B921" s="242"/>
    </row>
    <row r="922" spans="1:2" ht="15" customHeight="1">
      <c r="A922" s="242"/>
      <c r="B922" s="242"/>
    </row>
    <row r="923" spans="1:2" ht="15" customHeight="1">
      <c r="A923" s="242"/>
      <c r="B923" s="242"/>
    </row>
    <row r="924" spans="1:2" ht="15" customHeight="1">
      <c r="A924" s="242"/>
      <c r="B924" s="242"/>
    </row>
    <row r="925" spans="1:2" ht="15" customHeight="1">
      <c r="A925" s="242"/>
      <c r="B925" s="242"/>
    </row>
    <row r="926" spans="1:2" ht="15" customHeight="1">
      <c r="A926" s="242"/>
      <c r="B926" s="242"/>
    </row>
    <row r="927" spans="1:2" ht="15" customHeight="1">
      <c r="A927" s="242"/>
      <c r="B927" s="242"/>
    </row>
    <row r="928" spans="1:2" ht="15" customHeight="1">
      <c r="A928" s="242"/>
      <c r="B928" s="242"/>
    </row>
    <row r="929" spans="1:2" ht="15" customHeight="1">
      <c r="A929" s="242"/>
      <c r="B929" s="242"/>
    </row>
    <row r="930" spans="1:2" ht="15" customHeight="1">
      <c r="A930" s="242"/>
      <c r="B930" s="242"/>
    </row>
    <row r="931" spans="1:2" ht="15" customHeight="1">
      <c r="A931" s="242"/>
      <c r="B931" s="242"/>
    </row>
    <row r="932" spans="1:2" ht="15" customHeight="1">
      <c r="A932" s="242"/>
      <c r="B932" s="242"/>
    </row>
    <row r="933" spans="1:2" ht="15" customHeight="1">
      <c r="A933" s="242"/>
      <c r="B933" s="242"/>
    </row>
    <row r="934" spans="1:2" ht="15" customHeight="1">
      <c r="A934" s="242"/>
      <c r="B934" s="242"/>
    </row>
    <row r="935" spans="1:2" ht="15" customHeight="1">
      <c r="A935" s="242"/>
      <c r="B935" s="242"/>
    </row>
    <row r="936" spans="1:2" ht="15" customHeight="1">
      <c r="A936" s="242"/>
      <c r="B936" s="242"/>
    </row>
    <row r="937" spans="1:2" ht="15" customHeight="1">
      <c r="A937" s="242"/>
      <c r="B937" s="242"/>
    </row>
    <row r="938" spans="1:2" ht="15" customHeight="1">
      <c r="A938" s="242"/>
      <c r="B938" s="242"/>
    </row>
    <row r="939" spans="1:2" ht="15" customHeight="1">
      <c r="A939" s="242"/>
      <c r="B939" s="242"/>
    </row>
    <row r="940" spans="1:2" ht="15" customHeight="1">
      <c r="A940" s="242"/>
      <c r="B940" s="242"/>
    </row>
    <row r="941" spans="1:2" ht="15" customHeight="1">
      <c r="A941" s="242"/>
      <c r="B941" s="242"/>
    </row>
    <row r="942" spans="1:2" ht="15" customHeight="1">
      <c r="A942" s="242"/>
      <c r="B942" s="242"/>
    </row>
    <row r="943" spans="1:2" ht="15" customHeight="1">
      <c r="A943" s="242"/>
      <c r="B943" s="242"/>
    </row>
    <row r="944" spans="1:2" ht="15" customHeight="1">
      <c r="A944" s="242"/>
      <c r="B944" s="242"/>
    </row>
    <row r="945" spans="1:2" ht="15" customHeight="1">
      <c r="A945" s="242"/>
      <c r="B945" s="242"/>
    </row>
    <row r="946" spans="1:2" ht="15" customHeight="1">
      <c r="A946" s="242"/>
      <c r="B946" s="242"/>
    </row>
    <row r="947" spans="1:2" ht="15" customHeight="1">
      <c r="A947" s="242"/>
      <c r="B947" s="242"/>
    </row>
    <row r="948" spans="1:2" ht="15" customHeight="1">
      <c r="A948" s="242"/>
      <c r="B948" s="242"/>
    </row>
    <row r="949" spans="1:2" ht="15" customHeight="1">
      <c r="A949" s="242"/>
      <c r="B949" s="242"/>
    </row>
    <row r="950" spans="1:2" ht="15" customHeight="1">
      <c r="A950" s="242"/>
      <c r="B950" s="242"/>
    </row>
    <row r="951" spans="1:2" ht="15" customHeight="1">
      <c r="A951" s="242"/>
      <c r="B951" s="242"/>
    </row>
    <row r="952" spans="1:2" ht="15" customHeight="1">
      <c r="A952" s="242"/>
      <c r="B952" s="242"/>
    </row>
    <row r="953" spans="1:2" ht="15" customHeight="1">
      <c r="A953" s="242"/>
      <c r="B953" s="242"/>
    </row>
    <row r="954" spans="1:2" ht="15" customHeight="1">
      <c r="A954" s="242"/>
      <c r="B954" s="242"/>
    </row>
    <row r="955" spans="1:2" ht="15" customHeight="1">
      <c r="A955" s="242"/>
      <c r="B955" s="242"/>
    </row>
    <row r="956" spans="1:2" ht="15" customHeight="1">
      <c r="A956" s="242"/>
      <c r="B956" s="242"/>
    </row>
    <row r="957" spans="1:2" ht="15" customHeight="1">
      <c r="A957" s="242"/>
      <c r="B957" s="242"/>
    </row>
    <row r="958" spans="1:2" ht="15" customHeight="1">
      <c r="A958" s="242"/>
      <c r="B958" s="242"/>
    </row>
    <row r="959" spans="1:2" ht="15" customHeight="1">
      <c r="A959" s="242"/>
      <c r="B959" s="242"/>
    </row>
    <row r="960" spans="1:2" ht="15" customHeight="1">
      <c r="A960" s="242"/>
      <c r="B960" s="242"/>
    </row>
    <row r="961" spans="1:2" ht="15" customHeight="1">
      <c r="A961" s="242"/>
      <c r="B961" s="242"/>
    </row>
    <row r="962" spans="1:2" ht="15" customHeight="1">
      <c r="A962" s="242"/>
      <c r="B962" s="242"/>
    </row>
    <row r="963" spans="1:2" ht="15" customHeight="1">
      <c r="A963" s="242"/>
      <c r="B963" s="242"/>
    </row>
    <row r="964" spans="1:2" ht="15" customHeight="1">
      <c r="A964" s="242"/>
      <c r="B964" s="242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53">
        <v>25</v>
      </c>
      <c r="H1" s="253">
        <v>26</v>
      </c>
      <c r="I1" s="253">
        <v>27</v>
      </c>
      <c r="J1" s="253">
        <v>28</v>
      </c>
      <c r="K1" s="253">
        <v>29</v>
      </c>
      <c r="L1" s="253">
        <v>30</v>
      </c>
      <c r="M1" s="253">
        <v>31</v>
      </c>
      <c r="N1" s="253">
        <v>1</v>
      </c>
      <c r="O1" s="253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53"/>
      <c r="H2" s="253"/>
      <c r="I2" s="253"/>
      <c r="J2" s="253"/>
      <c r="K2" s="253"/>
      <c r="L2" s="253"/>
      <c r="M2" s="253" t="s">
        <v>4133</v>
      </c>
      <c r="N2" s="253" t="s">
        <v>4133</v>
      </c>
      <c r="O2" s="253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90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5053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91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9" t="s">
        <v>4473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9" t="s">
        <v>4473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7" customWidth="1"/>
    <col min="2" max="2" width="10.59765625" style="357"/>
    <col min="3" max="3" width="13.19921875" style="358" bestFit="1" customWidth="1"/>
    <col min="4" max="4" width="13.19921875" style="358" customWidth="1"/>
    <col min="5" max="6" width="14.296875" style="357" customWidth="1"/>
    <col min="7" max="7" width="20.19921875" style="358" bestFit="1" customWidth="1"/>
    <col min="8" max="8" width="14.296875" style="357" customWidth="1"/>
    <col min="9" max="11" width="10.59765625" style="350"/>
    <col min="12" max="12" width="14.296875" style="357" customWidth="1"/>
    <col min="13" max="13" width="14.19921875" style="350" bestFit="1" customWidth="1"/>
    <col min="14" max="16384" width="10.59765625" style="350"/>
  </cols>
  <sheetData>
    <row r="1" spans="1:13" ht="25.05" customHeight="1">
      <c r="A1" s="349" t="s">
        <v>4474</v>
      </c>
      <c r="B1" s="349" t="s">
        <v>4476</v>
      </c>
      <c r="C1" s="349" t="s">
        <v>1</v>
      </c>
      <c r="D1" s="349"/>
      <c r="E1" s="349" t="s">
        <v>5130</v>
      </c>
      <c r="F1" s="349" t="s">
        <v>4477</v>
      </c>
      <c r="G1" s="349" t="s">
        <v>4478</v>
      </c>
      <c r="H1" s="349" t="s">
        <v>4479</v>
      </c>
      <c r="I1" s="349" t="s">
        <v>4480</v>
      </c>
      <c r="J1" s="349" t="s">
        <v>5128</v>
      </c>
      <c r="K1" s="349" t="s">
        <v>5129</v>
      </c>
      <c r="L1" s="349" t="s">
        <v>4475</v>
      </c>
      <c r="M1" s="349" t="s">
        <v>5131</v>
      </c>
    </row>
    <row r="2" spans="1:13" ht="22.95" customHeight="1">
      <c r="A2" s="351" t="s">
        <v>4515</v>
      </c>
      <c r="B2" s="351">
        <v>4259</v>
      </c>
      <c r="C2" s="352" t="s">
        <v>349</v>
      </c>
      <c r="D2" s="352" t="str">
        <f t="shared" ref="D2:D65" si="0">C2&amp;E2</f>
        <v>八里水灣店1</v>
      </c>
      <c r="E2" s="351">
        <v>1</v>
      </c>
      <c r="F2" s="351" t="s">
        <v>4248</v>
      </c>
      <c r="G2" s="352" t="s">
        <v>4516</v>
      </c>
      <c r="H2" s="351" t="s">
        <v>4495</v>
      </c>
      <c r="I2" s="353" t="s">
        <v>4500</v>
      </c>
      <c r="J2" s="354" t="str">
        <f>VLOOKUP(B2,'[5]0919門市清單主檔'!B:V,21,FALSE)</f>
        <v>八里區</v>
      </c>
      <c r="K2" s="355" t="s">
        <v>4485</v>
      </c>
      <c r="L2" s="351" t="s">
        <v>1749</v>
      </c>
      <c r="M2" s="354"/>
    </row>
    <row r="3" spans="1:13" ht="22.95" customHeight="1">
      <c r="A3" s="351" t="s">
        <v>4517</v>
      </c>
      <c r="B3" s="351">
        <v>4259</v>
      </c>
      <c r="C3" s="352" t="s">
        <v>349</v>
      </c>
      <c r="D3" s="352" t="str">
        <f t="shared" si="0"/>
        <v>八里水灣店2</v>
      </c>
      <c r="E3" s="351">
        <v>2</v>
      </c>
      <c r="F3" s="351" t="s">
        <v>4249</v>
      </c>
      <c r="G3" s="352" t="s">
        <v>4518</v>
      </c>
      <c r="H3" s="351" t="s">
        <v>4488</v>
      </c>
      <c r="I3" s="353" t="s">
        <v>4484</v>
      </c>
      <c r="J3" s="354" t="str">
        <f>VLOOKUP(B3,'[5]0919門市清單主檔'!B:V,21,FALSE)</f>
        <v>八里區</v>
      </c>
      <c r="K3" s="355" t="s">
        <v>4485</v>
      </c>
      <c r="L3" s="351" t="s">
        <v>1749</v>
      </c>
      <c r="M3" s="354"/>
    </row>
    <row r="4" spans="1:13" ht="22.95" customHeight="1">
      <c r="A4" s="351" t="s">
        <v>4519</v>
      </c>
      <c r="B4" s="351">
        <v>2306</v>
      </c>
      <c r="C4" s="352" t="s">
        <v>91</v>
      </c>
      <c r="D4" s="352" t="str">
        <f t="shared" si="0"/>
        <v>八里凱旋門1</v>
      </c>
      <c r="E4" s="351">
        <v>1</v>
      </c>
      <c r="F4" s="351" t="s">
        <v>4250</v>
      </c>
      <c r="G4" s="352" t="s">
        <v>4520</v>
      </c>
      <c r="H4" s="351" t="s">
        <v>4495</v>
      </c>
      <c r="I4" s="353" t="s">
        <v>4484</v>
      </c>
      <c r="J4" s="354" t="str">
        <f>VLOOKUP(B4,'[5]0919門市清單主檔'!B:V,21,FALSE)</f>
        <v>八里區</v>
      </c>
      <c r="K4" s="355" t="s">
        <v>4485</v>
      </c>
      <c r="L4" s="351" t="s">
        <v>1749</v>
      </c>
      <c r="M4" s="354"/>
    </row>
    <row r="5" spans="1:13" ht="22.95" customHeight="1">
      <c r="A5" s="351" t="s">
        <v>4521</v>
      </c>
      <c r="B5" s="351">
        <v>2306</v>
      </c>
      <c r="C5" s="352" t="s">
        <v>91</v>
      </c>
      <c r="D5" s="352" t="str">
        <f t="shared" si="0"/>
        <v>八里凱旋門2</v>
      </c>
      <c r="E5" s="351">
        <v>2</v>
      </c>
      <c r="F5" s="351" t="s">
        <v>4251</v>
      </c>
      <c r="G5" s="352" t="s">
        <v>4522</v>
      </c>
      <c r="H5" s="351" t="s">
        <v>4495</v>
      </c>
      <c r="I5" s="353" t="s">
        <v>4484</v>
      </c>
      <c r="J5" s="354" t="str">
        <f>VLOOKUP(B5,'[5]0919門市清單主檔'!B:V,21,FALSE)</f>
        <v>八里區</v>
      </c>
      <c r="K5" s="355" t="s">
        <v>4485</v>
      </c>
      <c r="L5" s="351" t="s">
        <v>1749</v>
      </c>
      <c r="M5" s="354"/>
    </row>
    <row r="6" spans="1:13" ht="22.95" customHeight="1">
      <c r="A6" s="351" t="s">
        <v>4523</v>
      </c>
      <c r="B6" s="351">
        <v>4243</v>
      </c>
      <c r="C6" s="352" t="s">
        <v>345</v>
      </c>
      <c r="D6" s="352" t="str">
        <f t="shared" si="0"/>
        <v>八里聖心店1</v>
      </c>
      <c r="E6" s="351">
        <v>1</v>
      </c>
      <c r="F6" s="351" t="s">
        <v>4300</v>
      </c>
      <c r="G6" s="352" t="s">
        <v>4524</v>
      </c>
      <c r="H6" s="351" t="s">
        <v>4495</v>
      </c>
      <c r="I6" s="353" t="s">
        <v>4484</v>
      </c>
      <c r="J6" s="354" t="str">
        <f>VLOOKUP(B6,'[5]0919門市清單主檔'!B:V,21,FALSE)</f>
        <v>八里區</v>
      </c>
      <c r="K6" s="355" t="s">
        <v>4485</v>
      </c>
      <c r="L6" s="351" t="s">
        <v>1749</v>
      </c>
      <c r="M6" s="354"/>
    </row>
    <row r="7" spans="1:13" ht="22.95" customHeight="1">
      <c r="A7" s="351" t="s">
        <v>4525</v>
      </c>
      <c r="B7" s="351">
        <v>4243</v>
      </c>
      <c r="C7" s="352" t="s">
        <v>345</v>
      </c>
      <c r="D7" s="352" t="str">
        <f t="shared" si="0"/>
        <v>八里聖心店2</v>
      </c>
      <c r="E7" s="351">
        <v>2</v>
      </c>
      <c r="F7" s="351" t="s">
        <v>4301</v>
      </c>
      <c r="G7" s="352" t="s">
        <v>4526</v>
      </c>
      <c r="H7" s="351" t="s">
        <v>4495</v>
      </c>
      <c r="I7" s="353" t="s">
        <v>4484</v>
      </c>
      <c r="J7" s="354" t="str">
        <f>VLOOKUP(B7,'[5]0919門市清單主檔'!B:V,21,FALSE)</f>
        <v>八里區</v>
      </c>
      <c r="K7" s="355" t="s">
        <v>4485</v>
      </c>
      <c r="L7" s="351" t="s">
        <v>1749</v>
      </c>
      <c r="M7" s="354"/>
    </row>
    <row r="8" spans="1:13" ht="22.95" customHeight="1">
      <c r="A8" s="351" t="s">
        <v>4527</v>
      </c>
      <c r="B8" s="351">
        <v>3458</v>
      </c>
      <c r="C8" s="352" t="s">
        <v>193</v>
      </c>
      <c r="D8" s="352" t="str">
        <f t="shared" si="0"/>
        <v>八里龍米店2</v>
      </c>
      <c r="E8" s="351">
        <v>2</v>
      </c>
      <c r="F8" s="351" t="s">
        <v>4302</v>
      </c>
      <c r="G8" s="352" t="s">
        <v>4528</v>
      </c>
      <c r="H8" s="351" t="s">
        <v>4488</v>
      </c>
      <c r="I8" s="353" t="s">
        <v>4484</v>
      </c>
      <c r="J8" s="354" t="str">
        <f>VLOOKUP(B8,'[5]0919門市清單主檔'!B:V,21,FALSE)</f>
        <v>八里區</v>
      </c>
      <c r="K8" s="355" t="s">
        <v>4485</v>
      </c>
      <c r="L8" s="351" t="s">
        <v>1749</v>
      </c>
      <c r="M8" s="354"/>
    </row>
    <row r="9" spans="1:13" ht="22.95" customHeight="1">
      <c r="A9" s="351" t="s">
        <v>4815</v>
      </c>
      <c r="B9" s="351">
        <v>2442</v>
      </c>
      <c r="C9" s="352" t="s">
        <v>105</v>
      </c>
      <c r="D9" s="352" t="str">
        <f t="shared" si="0"/>
        <v>北縣商港店1</v>
      </c>
      <c r="E9" s="351">
        <v>1</v>
      </c>
      <c r="F9" s="351" t="s">
        <v>4252</v>
      </c>
      <c r="G9" s="352" t="s">
        <v>4816</v>
      </c>
      <c r="H9" s="351" t="s">
        <v>4495</v>
      </c>
      <c r="I9" s="353" t="s">
        <v>4484</v>
      </c>
      <c r="J9" s="354" t="str">
        <f>VLOOKUP(B9,'[5]0919門市清單主檔'!B:V,21,FALSE)</f>
        <v>八里區</v>
      </c>
      <c r="K9" s="355" t="s">
        <v>4485</v>
      </c>
      <c r="L9" s="351" t="s">
        <v>1749</v>
      </c>
      <c r="M9" s="354"/>
    </row>
    <row r="10" spans="1:13" ht="22.95" customHeight="1">
      <c r="A10" s="351" t="s">
        <v>4817</v>
      </c>
      <c r="B10" s="351">
        <v>2442</v>
      </c>
      <c r="C10" s="352" t="s">
        <v>105</v>
      </c>
      <c r="D10" s="352" t="str">
        <f t="shared" si="0"/>
        <v>北縣商港店2</v>
      </c>
      <c r="E10" s="351">
        <v>2</v>
      </c>
      <c r="F10" s="351" t="s">
        <v>4253</v>
      </c>
      <c r="G10" s="352" t="s">
        <v>4818</v>
      </c>
      <c r="H10" s="351" t="s">
        <v>4495</v>
      </c>
      <c r="I10" s="353" t="s">
        <v>4484</v>
      </c>
      <c r="J10" s="354" t="str">
        <f>VLOOKUP(B10,'[5]0919門市清單主檔'!B:V,21,FALSE)</f>
        <v>八里區</v>
      </c>
      <c r="K10" s="355" t="s">
        <v>4485</v>
      </c>
      <c r="L10" s="351" t="s">
        <v>1749</v>
      </c>
      <c r="M10" s="354"/>
    </row>
    <row r="11" spans="1:13" ht="22.95" customHeight="1">
      <c r="A11" s="351" t="s">
        <v>4784</v>
      </c>
      <c r="B11" s="351">
        <v>2237</v>
      </c>
      <c r="C11" s="352" t="s">
        <v>79</v>
      </c>
      <c r="D11" s="352" t="str">
        <f t="shared" si="0"/>
        <v>北縣芝蘭店1</v>
      </c>
      <c r="E11" s="351">
        <v>1</v>
      </c>
      <c r="F11" s="351" t="s">
        <v>4280</v>
      </c>
      <c r="G11" s="352" t="s">
        <v>4785</v>
      </c>
      <c r="H11" s="351" t="s">
        <v>4495</v>
      </c>
      <c r="I11" s="353" t="s">
        <v>4484</v>
      </c>
      <c r="J11" s="354" t="str">
        <f>VLOOKUP(B11,'[5]0919門市清單主檔'!B:V,21,FALSE)</f>
        <v>三芝區</v>
      </c>
      <c r="K11" s="355" t="s">
        <v>4485</v>
      </c>
      <c r="L11" s="351" t="s">
        <v>1749</v>
      </c>
      <c r="M11" s="354"/>
    </row>
    <row r="12" spans="1:13" ht="22.95" customHeight="1">
      <c r="A12" s="351" t="s">
        <v>4786</v>
      </c>
      <c r="B12" s="351">
        <v>2237</v>
      </c>
      <c r="C12" s="352" t="s">
        <v>79</v>
      </c>
      <c r="D12" s="352" t="str">
        <f t="shared" si="0"/>
        <v>北縣芝蘭店2</v>
      </c>
      <c r="E12" s="351">
        <v>2</v>
      </c>
      <c r="F12" s="351" t="s">
        <v>4281</v>
      </c>
      <c r="G12" s="352" t="s">
        <v>4787</v>
      </c>
      <c r="H12" s="351" t="s">
        <v>4495</v>
      </c>
      <c r="I12" s="353" t="s">
        <v>4484</v>
      </c>
      <c r="J12" s="354" t="str">
        <f>VLOOKUP(B12,'[5]0919門市清單主檔'!B:V,21,FALSE)</f>
        <v>三芝區</v>
      </c>
      <c r="K12" s="355" t="s">
        <v>4485</v>
      </c>
      <c r="L12" s="351" t="s">
        <v>1749</v>
      </c>
      <c r="M12" s="354"/>
    </row>
    <row r="13" spans="1:13" ht="22.95" customHeight="1">
      <c r="A13" s="351" t="s">
        <v>4486</v>
      </c>
      <c r="B13" s="351">
        <v>3359</v>
      </c>
      <c r="C13" s="352" t="s">
        <v>183</v>
      </c>
      <c r="D13" s="352" t="str">
        <f t="shared" si="0"/>
        <v>三重金陵店1</v>
      </c>
      <c r="E13" s="351">
        <v>1</v>
      </c>
      <c r="F13" s="351" t="s">
        <v>4269</v>
      </c>
      <c r="G13" s="352" t="s">
        <v>4487</v>
      </c>
      <c r="H13" s="351" t="s">
        <v>4488</v>
      </c>
      <c r="I13" s="353" t="s">
        <v>4490</v>
      </c>
      <c r="J13" s="354" t="str">
        <f>VLOOKUP(B13,'[5]0919門市清單主檔'!B:V,21,FALSE)</f>
        <v>三重區</v>
      </c>
      <c r="K13" s="355" t="s">
        <v>4485</v>
      </c>
      <c r="L13" s="351" t="s">
        <v>4046</v>
      </c>
      <c r="M13" s="354"/>
    </row>
    <row r="14" spans="1:13" ht="22.95" customHeight="1">
      <c r="A14" s="351" t="s">
        <v>4491</v>
      </c>
      <c r="B14" s="351">
        <v>3359</v>
      </c>
      <c r="C14" s="352" t="s">
        <v>183</v>
      </c>
      <c r="D14" s="352" t="str">
        <f t="shared" si="0"/>
        <v>三重金陵店2</v>
      </c>
      <c r="E14" s="351">
        <v>2</v>
      </c>
      <c r="F14" s="351" t="s">
        <v>4270</v>
      </c>
      <c r="G14" s="352" t="s">
        <v>4492</v>
      </c>
      <c r="H14" s="351" t="s">
        <v>4488</v>
      </c>
      <c r="I14" s="353" t="s">
        <v>4490</v>
      </c>
      <c r="J14" s="354" t="str">
        <f>VLOOKUP(B14,'[5]0919門市清單主檔'!B:V,21,FALSE)</f>
        <v>三重區</v>
      </c>
      <c r="K14" s="355" t="s">
        <v>4485</v>
      </c>
      <c r="L14" s="351" t="s">
        <v>4046</v>
      </c>
      <c r="M14" s="354"/>
    </row>
    <row r="15" spans="1:13" ht="22.95" customHeight="1">
      <c r="A15" s="351" t="s">
        <v>4529</v>
      </c>
      <c r="B15" s="351" t="s">
        <v>19</v>
      </c>
      <c r="C15" s="352" t="s">
        <v>636</v>
      </c>
      <c r="D15" s="352" t="str">
        <f t="shared" si="0"/>
        <v>三重三民店1</v>
      </c>
      <c r="E15" s="351">
        <v>1</v>
      </c>
      <c r="F15" s="351" t="s">
        <v>4227</v>
      </c>
      <c r="G15" s="352" t="s">
        <v>4530</v>
      </c>
      <c r="H15" s="351" t="s">
        <v>4495</v>
      </c>
      <c r="I15" s="353" t="s">
        <v>4484</v>
      </c>
      <c r="J15" s="354" t="str">
        <f>VLOOKUP(B15,'[5]0919門市清單主檔'!B:V,21,FALSE)</f>
        <v>三重區</v>
      </c>
      <c r="K15" s="355" t="s">
        <v>4485</v>
      </c>
      <c r="L15" s="351" t="s">
        <v>1749</v>
      </c>
      <c r="M15" s="354"/>
    </row>
    <row r="16" spans="1:13" ht="22.95" customHeight="1">
      <c r="A16" s="351" t="s">
        <v>4531</v>
      </c>
      <c r="B16" s="351" t="s">
        <v>19</v>
      </c>
      <c r="C16" s="352" t="s">
        <v>636</v>
      </c>
      <c r="D16" s="352" t="str">
        <f t="shared" si="0"/>
        <v>三重三民店2</v>
      </c>
      <c r="E16" s="351">
        <v>2</v>
      </c>
      <c r="F16" s="351" t="s">
        <v>4228</v>
      </c>
      <c r="G16" s="352" t="s">
        <v>4532</v>
      </c>
      <c r="H16" s="351" t="s">
        <v>4483</v>
      </c>
      <c r="I16" s="353" t="s">
        <v>4500</v>
      </c>
      <c r="J16" s="354" t="str">
        <f>VLOOKUP(B16,'[5]0919門市清單主檔'!B:V,21,FALSE)</f>
        <v>三重區</v>
      </c>
      <c r="K16" s="355" t="s">
        <v>4485</v>
      </c>
      <c r="L16" s="351" t="s">
        <v>1749</v>
      </c>
      <c r="M16" s="354"/>
    </row>
    <row r="17" spans="1:13" ht="22.95" customHeight="1">
      <c r="A17" s="351" t="s">
        <v>4533</v>
      </c>
      <c r="B17" s="351">
        <v>2303</v>
      </c>
      <c r="C17" s="352" t="s">
        <v>90</v>
      </c>
      <c r="D17" s="352" t="str">
        <f t="shared" si="0"/>
        <v>三重三和夜市1</v>
      </c>
      <c r="E17" s="351">
        <v>1</v>
      </c>
      <c r="F17" s="351" t="s">
        <v>4334</v>
      </c>
      <c r="G17" s="352" t="s">
        <v>4534</v>
      </c>
      <c r="H17" s="351" t="s">
        <v>4495</v>
      </c>
      <c r="I17" s="353" t="s">
        <v>4490</v>
      </c>
      <c r="J17" s="354" t="str">
        <f>VLOOKUP(B17,'[5]0919門市清單主檔'!B:V,21,FALSE)</f>
        <v>三重區</v>
      </c>
      <c r="K17" s="355" t="s">
        <v>4485</v>
      </c>
      <c r="L17" s="351" t="s">
        <v>1749</v>
      </c>
      <c r="M17" s="354"/>
    </row>
    <row r="18" spans="1:13" ht="22.95" customHeight="1">
      <c r="A18" s="351" t="s">
        <v>4535</v>
      </c>
      <c r="B18" s="351">
        <v>2303</v>
      </c>
      <c r="C18" s="352" t="s">
        <v>90</v>
      </c>
      <c r="D18" s="352" t="str">
        <f t="shared" si="0"/>
        <v>三重三和夜市2</v>
      </c>
      <c r="E18" s="351">
        <v>2</v>
      </c>
      <c r="F18" s="351" t="s">
        <v>4335</v>
      </c>
      <c r="G18" s="352" t="s">
        <v>4536</v>
      </c>
      <c r="H18" s="351" t="s">
        <v>4495</v>
      </c>
      <c r="I18" s="353" t="s">
        <v>4490</v>
      </c>
      <c r="J18" s="354" t="str">
        <f>VLOOKUP(B18,'[5]0919門市清單主檔'!B:V,21,FALSE)</f>
        <v>三重區</v>
      </c>
      <c r="K18" s="355" t="s">
        <v>4485</v>
      </c>
      <c r="L18" s="351" t="s">
        <v>1749</v>
      </c>
      <c r="M18" s="354"/>
    </row>
    <row r="19" spans="1:13" ht="22.95" customHeight="1">
      <c r="A19" s="351" t="s">
        <v>4537</v>
      </c>
      <c r="B19" s="351">
        <v>2543</v>
      </c>
      <c r="C19" s="352" t="s">
        <v>4151</v>
      </c>
      <c r="D19" s="352" t="str">
        <f t="shared" si="0"/>
        <v>三重大仁店1</v>
      </c>
      <c r="E19" s="351">
        <v>1</v>
      </c>
      <c r="F19" s="351" t="s">
        <v>4220</v>
      </c>
      <c r="G19" s="352" t="s">
        <v>4538</v>
      </c>
      <c r="H19" s="351" t="s">
        <v>4495</v>
      </c>
      <c r="I19" s="353" t="s">
        <v>4484</v>
      </c>
      <c r="J19" s="354" t="str">
        <f>VLOOKUP(B19,'[5]0919門市清單主檔'!B:V,21,FALSE)</f>
        <v>三重區</v>
      </c>
      <c r="K19" s="355" t="s">
        <v>4485</v>
      </c>
      <c r="L19" s="351" t="s">
        <v>1749</v>
      </c>
      <c r="M19" s="354"/>
    </row>
    <row r="20" spans="1:13" ht="22.95" customHeight="1">
      <c r="A20" s="351" t="s">
        <v>4539</v>
      </c>
      <c r="B20" s="351">
        <v>2543</v>
      </c>
      <c r="C20" s="352" t="s">
        <v>4151</v>
      </c>
      <c r="D20" s="352" t="str">
        <f t="shared" si="0"/>
        <v>三重大仁店2</v>
      </c>
      <c r="E20" s="351">
        <v>2</v>
      </c>
      <c r="F20" s="351" t="s">
        <v>4221</v>
      </c>
      <c r="G20" s="352" t="s">
        <v>4540</v>
      </c>
      <c r="H20" s="351" t="s">
        <v>4495</v>
      </c>
      <c r="I20" s="353" t="s">
        <v>4484</v>
      </c>
      <c r="J20" s="354" t="str">
        <f>VLOOKUP(B20,'[5]0919門市清單主檔'!B:V,21,FALSE)</f>
        <v>三重區</v>
      </c>
      <c r="K20" s="355" t="s">
        <v>4485</v>
      </c>
      <c r="L20" s="351" t="s">
        <v>1749</v>
      </c>
      <c r="M20" s="354"/>
    </row>
    <row r="21" spans="1:13" ht="22.95" customHeight="1">
      <c r="A21" s="351" t="s">
        <v>4541</v>
      </c>
      <c r="B21" s="351">
        <v>4134</v>
      </c>
      <c r="C21" s="352" t="s">
        <v>1576</v>
      </c>
      <c r="D21" s="352" t="str">
        <f t="shared" si="0"/>
        <v>三重大同南1</v>
      </c>
      <c r="E21" s="351">
        <v>1</v>
      </c>
      <c r="F21" s="351" t="s">
        <v>4208</v>
      </c>
      <c r="G21" s="352" t="s">
        <v>4542</v>
      </c>
      <c r="H21" s="351" t="s">
        <v>4488</v>
      </c>
      <c r="I21" s="353" t="s">
        <v>4484</v>
      </c>
      <c r="J21" s="354" t="str">
        <f>VLOOKUP(B21,'[5]0919門市清單主檔'!B:V,21,FALSE)</f>
        <v>三重區</v>
      </c>
      <c r="K21" s="355" t="s">
        <v>4485</v>
      </c>
      <c r="L21" s="351" t="s">
        <v>1749</v>
      </c>
      <c r="M21" s="354"/>
    </row>
    <row r="22" spans="1:13" ht="22.95" customHeight="1">
      <c r="A22" s="351" t="s">
        <v>4543</v>
      </c>
      <c r="B22" s="351">
        <v>4134</v>
      </c>
      <c r="C22" s="352" t="s">
        <v>1576</v>
      </c>
      <c r="D22" s="352" t="str">
        <f t="shared" si="0"/>
        <v>三重大同南2</v>
      </c>
      <c r="E22" s="351">
        <v>2</v>
      </c>
      <c r="F22" s="351" t="s">
        <v>4209</v>
      </c>
      <c r="G22" s="352" t="s">
        <v>4544</v>
      </c>
      <c r="H22" s="351" t="s">
        <v>4488</v>
      </c>
      <c r="I22" s="353" t="s">
        <v>4484</v>
      </c>
      <c r="J22" s="354" t="str">
        <f>VLOOKUP(B22,'[5]0919門市清單主檔'!B:V,21,FALSE)</f>
        <v>三重區</v>
      </c>
      <c r="K22" s="355" t="s">
        <v>4485</v>
      </c>
      <c r="L22" s="351" t="s">
        <v>1749</v>
      </c>
      <c r="M22" s="354"/>
    </row>
    <row r="23" spans="1:13" ht="22.95" customHeight="1">
      <c r="A23" s="351" t="s">
        <v>4545</v>
      </c>
      <c r="B23" s="351" t="s">
        <v>38</v>
      </c>
      <c r="C23" s="352" t="s">
        <v>4150</v>
      </c>
      <c r="D23" s="352" t="str">
        <f t="shared" si="0"/>
        <v>三重大有店1</v>
      </c>
      <c r="E23" s="351">
        <v>1</v>
      </c>
      <c r="F23" s="351" t="s">
        <v>4192</v>
      </c>
      <c r="G23" s="352" t="s">
        <v>4546</v>
      </c>
      <c r="H23" s="351" t="s">
        <v>4488</v>
      </c>
      <c r="I23" s="353" t="s">
        <v>4484</v>
      </c>
      <c r="J23" s="354" t="str">
        <f>VLOOKUP(B23,'[5]0919門市清單主檔'!B:V,21,FALSE)</f>
        <v>三重區</v>
      </c>
      <c r="K23" s="355" t="s">
        <v>4485</v>
      </c>
      <c r="L23" s="351" t="s">
        <v>1749</v>
      </c>
      <c r="M23" s="354"/>
    </row>
    <row r="24" spans="1:13" ht="22.95" customHeight="1">
      <c r="A24" s="351" t="s">
        <v>4547</v>
      </c>
      <c r="B24" s="351" t="s">
        <v>38</v>
      </c>
      <c r="C24" s="352" t="s">
        <v>4150</v>
      </c>
      <c r="D24" s="352" t="str">
        <f t="shared" si="0"/>
        <v>三重大有店2</v>
      </c>
      <c r="E24" s="351">
        <v>2</v>
      </c>
      <c r="F24" s="351" t="s">
        <v>4193</v>
      </c>
      <c r="G24" s="352" t="s">
        <v>4548</v>
      </c>
      <c r="H24" s="351" t="s">
        <v>4488</v>
      </c>
      <c r="I24" s="353" t="s">
        <v>4500</v>
      </c>
      <c r="J24" s="354" t="str">
        <f>VLOOKUP(B24,'[5]0919門市清單主檔'!B:V,21,FALSE)</f>
        <v>三重區</v>
      </c>
      <c r="K24" s="355" t="s">
        <v>4485</v>
      </c>
      <c r="L24" s="351" t="s">
        <v>1749</v>
      </c>
      <c r="M24" s="354"/>
    </row>
    <row r="25" spans="1:13" ht="22.95" customHeight="1">
      <c r="A25" s="351" t="s">
        <v>4549</v>
      </c>
      <c r="B25" s="351">
        <v>4560</v>
      </c>
      <c r="C25" s="352" t="s">
        <v>442</v>
      </c>
      <c r="D25" s="352" t="str">
        <f t="shared" si="0"/>
        <v>三重大院店1</v>
      </c>
      <c r="E25" s="351">
        <v>1</v>
      </c>
      <c r="F25" s="351" t="s">
        <v>4315</v>
      </c>
      <c r="G25" s="352" t="s">
        <v>4550</v>
      </c>
      <c r="H25" s="351" t="s">
        <v>4488</v>
      </c>
      <c r="I25" s="353" t="s">
        <v>4500</v>
      </c>
      <c r="J25" s="354" t="str">
        <f>VLOOKUP(B25,'[5]0919門市清單主檔'!B:V,21,FALSE)</f>
        <v>三重區</v>
      </c>
      <c r="K25" s="355" t="s">
        <v>4485</v>
      </c>
      <c r="L25" s="351" t="s">
        <v>1749</v>
      </c>
      <c r="M25" s="354"/>
    </row>
    <row r="26" spans="1:13" ht="22.95" customHeight="1">
      <c r="A26" s="351" t="s">
        <v>4551</v>
      </c>
      <c r="B26" s="351">
        <v>4560</v>
      </c>
      <c r="C26" s="352" t="s">
        <v>442</v>
      </c>
      <c r="D26" s="352" t="str">
        <f t="shared" si="0"/>
        <v>三重大院店2</v>
      </c>
      <c r="E26" s="351">
        <v>2</v>
      </c>
      <c r="F26" s="351" t="s">
        <v>4316</v>
      </c>
      <c r="G26" s="352" t="s">
        <v>4552</v>
      </c>
      <c r="H26" s="351" t="s">
        <v>4488</v>
      </c>
      <c r="I26" s="353" t="s">
        <v>4484</v>
      </c>
      <c r="J26" s="354" t="str">
        <f>VLOOKUP(B26,'[5]0919門市清單主檔'!B:V,21,FALSE)</f>
        <v>三重區</v>
      </c>
      <c r="K26" s="355" t="s">
        <v>4485</v>
      </c>
      <c r="L26" s="351" t="s">
        <v>1749</v>
      </c>
      <c r="M26" s="354"/>
    </row>
    <row r="27" spans="1:13" ht="22.95" customHeight="1">
      <c r="A27" s="351" t="s">
        <v>4553</v>
      </c>
      <c r="B27" s="351">
        <v>2619</v>
      </c>
      <c r="C27" s="352" t="s">
        <v>1516</v>
      </c>
      <c r="D27" s="352" t="str">
        <f t="shared" si="0"/>
        <v>三重大榮店1</v>
      </c>
      <c r="E27" s="351">
        <v>1</v>
      </c>
      <c r="F27" s="351" t="s">
        <v>4233</v>
      </c>
      <c r="G27" s="352" t="s">
        <v>4554</v>
      </c>
      <c r="H27" s="351" t="s">
        <v>4495</v>
      </c>
      <c r="I27" s="353" t="s">
        <v>4484</v>
      </c>
      <c r="J27" s="354" t="str">
        <f>VLOOKUP(B27,'[5]0919門市清單主檔'!B:V,21,FALSE)</f>
        <v>三重區</v>
      </c>
      <c r="K27" s="355" t="s">
        <v>4485</v>
      </c>
      <c r="L27" s="351" t="s">
        <v>1749</v>
      </c>
      <c r="M27" s="354"/>
    </row>
    <row r="28" spans="1:13" ht="22.95" customHeight="1">
      <c r="A28" s="351" t="s">
        <v>4555</v>
      </c>
      <c r="B28" s="351">
        <v>2619</v>
      </c>
      <c r="C28" s="352" t="s">
        <v>1516</v>
      </c>
      <c r="D28" s="352" t="str">
        <f t="shared" si="0"/>
        <v>三重大榮店2</v>
      </c>
      <c r="E28" s="351">
        <v>2</v>
      </c>
      <c r="F28" s="351" t="s">
        <v>4234</v>
      </c>
      <c r="G28" s="352" t="s">
        <v>4556</v>
      </c>
      <c r="H28" s="351" t="s">
        <v>4488</v>
      </c>
      <c r="I28" s="353" t="s">
        <v>4484</v>
      </c>
      <c r="J28" s="354" t="str">
        <f>VLOOKUP(B28,'[5]0919門市清單主檔'!B:V,21,FALSE)</f>
        <v>三重區</v>
      </c>
      <c r="K28" s="355" t="s">
        <v>4485</v>
      </c>
      <c r="L28" s="351" t="s">
        <v>1749</v>
      </c>
      <c r="M28" s="354"/>
    </row>
    <row r="29" spans="1:13" ht="22.95" customHeight="1">
      <c r="A29" s="351" t="s">
        <v>4557</v>
      </c>
      <c r="B29" s="351">
        <v>2042</v>
      </c>
      <c r="C29" s="352" t="s">
        <v>60</v>
      </c>
      <c r="D29" s="352" t="str">
        <f t="shared" si="0"/>
        <v>三重中央北店1</v>
      </c>
      <c r="E29" s="351">
        <v>1</v>
      </c>
      <c r="F29" s="351" t="s">
        <v>4310</v>
      </c>
      <c r="G29" s="352" t="s">
        <v>4558</v>
      </c>
      <c r="H29" s="351" t="s">
        <v>4495</v>
      </c>
      <c r="I29" s="353" t="s">
        <v>4484</v>
      </c>
      <c r="J29" s="354" t="str">
        <f>VLOOKUP(B29,'[5]0919門市清單主檔'!B:V,21,FALSE)</f>
        <v>三重區</v>
      </c>
      <c r="K29" s="355" t="s">
        <v>4485</v>
      </c>
      <c r="L29" s="351" t="s">
        <v>1749</v>
      </c>
      <c r="M29" s="354"/>
    </row>
    <row r="30" spans="1:13" ht="22.95" customHeight="1">
      <c r="A30" s="351" t="s">
        <v>4559</v>
      </c>
      <c r="B30" s="351">
        <v>2042</v>
      </c>
      <c r="C30" s="352" t="s">
        <v>60</v>
      </c>
      <c r="D30" s="352" t="str">
        <f t="shared" si="0"/>
        <v>三重中央北店2</v>
      </c>
      <c r="E30" s="351">
        <v>2</v>
      </c>
      <c r="F30" s="351" t="s">
        <v>4311</v>
      </c>
      <c r="G30" s="352" t="s">
        <v>4560</v>
      </c>
      <c r="H30" s="351" t="s">
        <v>4495</v>
      </c>
      <c r="I30" s="353" t="s">
        <v>4500</v>
      </c>
      <c r="J30" s="354" t="str">
        <f>VLOOKUP(B30,'[5]0919門市清單主檔'!B:V,21,FALSE)</f>
        <v>三重區</v>
      </c>
      <c r="K30" s="355" t="s">
        <v>4485</v>
      </c>
      <c r="L30" s="351" t="s">
        <v>1749</v>
      </c>
      <c r="M30" s="354"/>
    </row>
    <row r="31" spans="1:13" ht="22.95" customHeight="1">
      <c r="A31" s="351" t="s">
        <v>4561</v>
      </c>
      <c r="B31" s="351">
        <v>4083</v>
      </c>
      <c r="C31" s="352" t="s">
        <v>1521</v>
      </c>
      <c r="D31" s="352" t="str">
        <f t="shared" si="0"/>
        <v>三重中央南1</v>
      </c>
      <c r="E31" s="351">
        <v>1</v>
      </c>
      <c r="F31" s="351" t="s">
        <v>4285</v>
      </c>
      <c r="G31" s="352" t="s">
        <v>4562</v>
      </c>
      <c r="H31" s="351" t="s">
        <v>4483</v>
      </c>
      <c r="I31" s="353" t="s">
        <v>4484</v>
      </c>
      <c r="J31" s="354" t="str">
        <f>VLOOKUP(B31,'[5]0919門市清單主檔'!B:V,21,FALSE)</f>
        <v>三重區</v>
      </c>
      <c r="K31" s="355" t="s">
        <v>4485</v>
      </c>
      <c r="L31" s="351" t="s">
        <v>1749</v>
      </c>
      <c r="M31" s="354"/>
    </row>
    <row r="32" spans="1:13" ht="22.95" customHeight="1">
      <c r="A32" s="351" t="s">
        <v>4563</v>
      </c>
      <c r="B32" s="351">
        <v>4083</v>
      </c>
      <c r="C32" s="352" t="s">
        <v>1521</v>
      </c>
      <c r="D32" s="352" t="str">
        <f t="shared" si="0"/>
        <v>三重中央南2</v>
      </c>
      <c r="E32" s="351">
        <v>2</v>
      </c>
      <c r="F32" s="351" t="s">
        <v>4286</v>
      </c>
      <c r="G32" s="352" t="s">
        <v>4564</v>
      </c>
      <c r="H32" s="351" t="s">
        <v>4483</v>
      </c>
      <c r="I32" s="353" t="s">
        <v>4484</v>
      </c>
      <c r="J32" s="354" t="str">
        <f>VLOOKUP(B32,'[5]0919門市清單主檔'!B:V,21,FALSE)</f>
        <v>三重區</v>
      </c>
      <c r="K32" s="355" t="s">
        <v>4485</v>
      </c>
      <c r="L32" s="351" t="s">
        <v>1749</v>
      </c>
      <c r="M32" s="354"/>
    </row>
    <row r="33" spans="1:13" ht="22.95" customHeight="1">
      <c r="A33" s="351" t="s">
        <v>4565</v>
      </c>
      <c r="B33" s="351">
        <v>2014</v>
      </c>
      <c r="C33" s="352" t="s">
        <v>58</v>
      </c>
      <c r="D33" s="352" t="str">
        <f t="shared" si="0"/>
        <v>三重中陽二店1</v>
      </c>
      <c r="E33" s="351">
        <v>1</v>
      </c>
      <c r="F33" s="351" t="s">
        <v>4196</v>
      </c>
      <c r="G33" s="352" t="s">
        <v>4566</v>
      </c>
      <c r="H33" s="351" t="s">
        <v>4495</v>
      </c>
      <c r="I33" s="353" t="s">
        <v>4500</v>
      </c>
      <c r="J33" s="354" t="str">
        <f>VLOOKUP(B33,'[5]0919門市清單主檔'!B:V,21,FALSE)</f>
        <v>三重區</v>
      </c>
      <c r="K33" s="355" t="s">
        <v>4485</v>
      </c>
      <c r="L33" s="351" t="s">
        <v>1749</v>
      </c>
      <c r="M33" s="354"/>
    </row>
    <row r="34" spans="1:13" ht="22.95" customHeight="1">
      <c r="A34" s="351" t="s">
        <v>4567</v>
      </c>
      <c r="B34" s="351">
        <v>2014</v>
      </c>
      <c r="C34" s="352" t="s">
        <v>58</v>
      </c>
      <c r="D34" s="352" t="str">
        <f t="shared" si="0"/>
        <v>三重中陽二店2</v>
      </c>
      <c r="E34" s="351">
        <v>2</v>
      </c>
      <c r="F34" s="351" t="s">
        <v>4195</v>
      </c>
      <c r="G34" s="352" t="s">
        <v>4568</v>
      </c>
      <c r="H34" s="351" t="s">
        <v>4495</v>
      </c>
      <c r="I34" s="353" t="s">
        <v>4490</v>
      </c>
      <c r="J34" s="354" t="str">
        <f>VLOOKUP(B34,'[5]0919門市清單主檔'!B:V,21,FALSE)</f>
        <v>三重區</v>
      </c>
      <c r="K34" s="355" t="s">
        <v>4485</v>
      </c>
      <c r="L34" s="351" t="s">
        <v>1749</v>
      </c>
      <c r="M34" s="354"/>
    </row>
    <row r="35" spans="1:13" ht="22.95" customHeight="1">
      <c r="A35" s="351" t="s">
        <v>4569</v>
      </c>
      <c r="B35" s="351" t="s">
        <v>22</v>
      </c>
      <c r="C35" s="352" t="s">
        <v>1566</v>
      </c>
      <c r="D35" s="352" t="str">
        <f t="shared" si="0"/>
        <v>三重中興北2</v>
      </c>
      <c r="E35" s="351">
        <v>2</v>
      </c>
      <c r="F35" s="351" t="s">
        <v>4290</v>
      </c>
      <c r="G35" s="352" t="s">
        <v>4570</v>
      </c>
      <c r="H35" s="351" t="s">
        <v>4488</v>
      </c>
      <c r="I35" s="353" t="s">
        <v>4484</v>
      </c>
      <c r="J35" s="354" t="str">
        <f>VLOOKUP(B35,'[5]0919門市清單主檔'!B:V,21,FALSE)</f>
        <v>三重區</v>
      </c>
      <c r="K35" s="355" t="s">
        <v>4485</v>
      </c>
      <c r="L35" s="351" t="s">
        <v>1749</v>
      </c>
      <c r="M35" s="354"/>
    </row>
    <row r="36" spans="1:13" ht="22.95" customHeight="1">
      <c r="A36" s="351" t="s">
        <v>4571</v>
      </c>
      <c r="B36" s="351" t="s">
        <v>23</v>
      </c>
      <c r="C36" s="352" t="s">
        <v>1568</v>
      </c>
      <c r="D36" s="352" t="str">
        <f t="shared" si="0"/>
        <v>三重中興北二1</v>
      </c>
      <c r="E36" s="351">
        <v>1</v>
      </c>
      <c r="F36" s="351" t="s">
        <v>4291</v>
      </c>
      <c r="G36" s="352" t="s">
        <v>4572</v>
      </c>
      <c r="H36" s="351" t="s">
        <v>4488</v>
      </c>
      <c r="I36" s="353" t="s">
        <v>4490</v>
      </c>
      <c r="J36" s="354" t="str">
        <f>VLOOKUP(B36,'[5]0919門市清單主檔'!B:V,21,FALSE)</f>
        <v>三重區</v>
      </c>
      <c r="K36" s="355" t="s">
        <v>4485</v>
      </c>
      <c r="L36" s="351" t="s">
        <v>1749</v>
      </c>
      <c r="M36" s="354"/>
    </row>
    <row r="37" spans="1:13" ht="22.95" customHeight="1">
      <c r="A37" s="351" t="s">
        <v>4573</v>
      </c>
      <c r="B37" s="351" t="s">
        <v>23</v>
      </c>
      <c r="C37" s="352" t="s">
        <v>1568</v>
      </c>
      <c r="D37" s="352" t="str">
        <f t="shared" si="0"/>
        <v>三重中興北二2</v>
      </c>
      <c r="E37" s="351">
        <v>2</v>
      </c>
      <c r="F37" s="351" t="s">
        <v>4292</v>
      </c>
      <c r="G37" s="352" t="s">
        <v>4574</v>
      </c>
      <c r="H37" s="351" t="s">
        <v>4488</v>
      </c>
      <c r="I37" s="353" t="s">
        <v>4490</v>
      </c>
      <c r="J37" s="354" t="str">
        <f>VLOOKUP(B37,'[5]0919門市清單主檔'!B:V,21,FALSE)</f>
        <v>三重區</v>
      </c>
      <c r="K37" s="355" t="s">
        <v>4485</v>
      </c>
      <c r="L37" s="351" t="s">
        <v>1749</v>
      </c>
      <c r="M37" s="354"/>
    </row>
    <row r="38" spans="1:13" ht="22.95" customHeight="1">
      <c r="A38" s="351" t="s">
        <v>4575</v>
      </c>
      <c r="B38" s="351">
        <v>2759</v>
      </c>
      <c r="C38" s="352" t="s">
        <v>1466</v>
      </c>
      <c r="D38" s="352" t="str">
        <f t="shared" si="0"/>
        <v>三重仁化店1</v>
      </c>
      <c r="E38" s="351">
        <v>1</v>
      </c>
      <c r="F38" s="351" t="s">
        <v>4210</v>
      </c>
      <c r="G38" s="352" t="s">
        <v>4576</v>
      </c>
      <c r="H38" s="351" t="s">
        <v>4488</v>
      </c>
      <c r="I38" s="353" t="s">
        <v>4484</v>
      </c>
      <c r="J38" s="354" t="str">
        <f>VLOOKUP(B38,'[5]0919門市清單主檔'!B:V,21,FALSE)</f>
        <v>三重區</v>
      </c>
      <c r="K38" s="355" t="s">
        <v>4485</v>
      </c>
      <c r="L38" s="351" t="s">
        <v>1749</v>
      </c>
      <c r="M38" s="354"/>
    </row>
    <row r="39" spans="1:13" ht="22.95" customHeight="1">
      <c r="A39" s="351" t="s">
        <v>4577</v>
      </c>
      <c r="B39" s="351">
        <v>2759</v>
      </c>
      <c r="C39" s="352" t="s">
        <v>1466</v>
      </c>
      <c r="D39" s="352" t="str">
        <f t="shared" si="0"/>
        <v>三重仁化店2</v>
      </c>
      <c r="E39" s="351">
        <v>2</v>
      </c>
      <c r="F39" s="351" t="s">
        <v>4211</v>
      </c>
      <c r="G39" s="352" t="s">
        <v>4578</v>
      </c>
      <c r="H39" s="351" t="s">
        <v>4488</v>
      </c>
      <c r="I39" s="353" t="s">
        <v>4484</v>
      </c>
      <c r="J39" s="354" t="str">
        <f>VLOOKUP(B39,'[5]0919門市清單主檔'!B:V,21,FALSE)</f>
        <v>三重區</v>
      </c>
      <c r="K39" s="355" t="s">
        <v>4485</v>
      </c>
      <c r="L39" s="351" t="s">
        <v>1749</v>
      </c>
      <c r="M39" s="354"/>
    </row>
    <row r="40" spans="1:13" ht="22.95" customHeight="1">
      <c r="A40" s="351" t="s">
        <v>4579</v>
      </c>
      <c r="B40" s="351">
        <v>4397</v>
      </c>
      <c r="C40" s="352" t="s">
        <v>389</v>
      </c>
      <c r="D40" s="352" t="str">
        <f t="shared" si="0"/>
        <v>三重仁旺店1</v>
      </c>
      <c r="E40" s="351">
        <v>1</v>
      </c>
      <c r="F40" s="351" t="s">
        <v>4243</v>
      </c>
      <c r="G40" s="352" t="s">
        <v>4580</v>
      </c>
      <c r="H40" s="351" t="s">
        <v>4495</v>
      </c>
      <c r="I40" s="353" t="s">
        <v>4484</v>
      </c>
      <c r="J40" s="354" t="str">
        <f>VLOOKUP(B40,'[5]0919門市清單主檔'!B:V,21,FALSE)</f>
        <v>三重區</v>
      </c>
      <c r="K40" s="355" t="s">
        <v>4485</v>
      </c>
      <c r="L40" s="351" t="s">
        <v>1749</v>
      </c>
      <c r="M40" s="354"/>
    </row>
    <row r="41" spans="1:13" ht="22.95" customHeight="1">
      <c r="A41" s="351" t="s">
        <v>4581</v>
      </c>
      <c r="B41" s="351">
        <v>4397</v>
      </c>
      <c r="C41" s="352" t="s">
        <v>389</v>
      </c>
      <c r="D41" s="352" t="str">
        <f t="shared" si="0"/>
        <v>三重仁旺店2</v>
      </c>
      <c r="E41" s="351">
        <v>2</v>
      </c>
      <c r="F41" s="351" t="s">
        <v>4244</v>
      </c>
      <c r="G41" s="352" t="s">
        <v>4582</v>
      </c>
      <c r="H41" s="351" t="s">
        <v>4495</v>
      </c>
      <c r="I41" s="353" t="s">
        <v>4484</v>
      </c>
      <c r="J41" s="354" t="str">
        <f>VLOOKUP(B41,'[5]0919門市清單主檔'!B:V,21,FALSE)</f>
        <v>三重區</v>
      </c>
      <c r="K41" s="355" t="s">
        <v>4485</v>
      </c>
      <c r="L41" s="351" t="s">
        <v>1749</v>
      </c>
      <c r="M41" s="354"/>
    </row>
    <row r="42" spans="1:13" ht="22.95" customHeight="1">
      <c r="A42" s="351" t="s">
        <v>4583</v>
      </c>
      <c r="B42" s="351">
        <v>4098</v>
      </c>
      <c r="C42" s="352" t="s">
        <v>1547</v>
      </c>
      <c r="D42" s="352" t="str">
        <f t="shared" si="0"/>
        <v>三重仁美店1</v>
      </c>
      <c r="E42" s="351">
        <v>1</v>
      </c>
      <c r="F42" s="351" t="s">
        <v>4340</v>
      </c>
      <c r="G42" s="352" t="s">
        <v>4584</v>
      </c>
      <c r="H42" s="351" t="s">
        <v>4488</v>
      </c>
      <c r="I42" s="353" t="s">
        <v>4484</v>
      </c>
      <c r="J42" s="354" t="str">
        <f>VLOOKUP(B42,'[5]0919門市清單主檔'!B:V,21,FALSE)</f>
        <v>三重區</v>
      </c>
      <c r="K42" s="355" t="s">
        <v>4485</v>
      </c>
      <c r="L42" s="351" t="s">
        <v>1749</v>
      </c>
      <c r="M42" s="354"/>
    </row>
    <row r="43" spans="1:13" ht="22.95" customHeight="1">
      <c r="A43" s="351" t="s">
        <v>4585</v>
      </c>
      <c r="B43" s="351">
        <v>4241</v>
      </c>
      <c r="C43" s="352" t="s">
        <v>1497</v>
      </c>
      <c r="D43" s="352" t="str">
        <f t="shared" si="0"/>
        <v>三重仁義店1</v>
      </c>
      <c r="E43" s="351">
        <v>1</v>
      </c>
      <c r="F43" s="351" t="s">
        <v>4349</v>
      </c>
      <c r="G43" s="352" t="s">
        <v>4586</v>
      </c>
      <c r="H43" s="351" t="s">
        <v>4488</v>
      </c>
      <c r="I43" s="353" t="s">
        <v>4484</v>
      </c>
      <c r="J43" s="354" t="str">
        <f>VLOOKUP(B43,'[5]0919門市清單主檔'!B:V,21,FALSE)</f>
        <v>三重區</v>
      </c>
      <c r="K43" s="355" t="s">
        <v>4485</v>
      </c>
      <c r="L43" s="351" t="s">
        <v>1749</v>
      </c>
      <c r="M43" s="354"/>
    </row>
    <row r="44" spans="1:13" ht="22.95" customHeight="1">
      <c r="A44" s="351" t="s">
        <v>4587</v>
      </c>
      <c r="B44" s="351">
        <v>4241</v>
      </c>
      <c r="C44" s="352" t="s">
        <v>1497</v>
      </c>
      <c r="D44" s="352" t="str">
        <f t="shared" si="0"/>
        <v>三重仁義店2</v>
      </c>
      <c r="E44" s="351">
        <v>2</v>
      </c>
      <c r="F44" s="351" t="s">
        <v>4350</v>
      </c>
      <c r="G44" s="352" t="s">
        <v>4588</v>
      </c>
      <c r="H44" s="351" t="s">
        <v>4488</v>
      </c>
      <c r="I44" s="353" t="s">
        <v>4484</v>
      </c>
      <c r="J44" s="354" t="str">
        <f>VLOOKUP(B44,'[5]0919門市清單主檔'!B:V,21,FALSE)</f>
        <v>三重區</v>
      </c>
      <c r="K44" s="355" t="s">
        <v>4485</v>
      </c>
      <c r="L44" s="351" t="s">
        <v>1749</v>
      </c>
      <c r="M44" s="354"/>
    </row>
    <row r="45" spans="1:13" ht="22.95" customHeight="1">
      <c r="A45" s="351" t="s">
        <v>4589</v>
      </c>
      <c r="B45" s="351">
        <v>4184</v>
      </c>
      <c r="C45" s="352" t="s">
        <v>328</v>
      </c>
      <c r="D45" s="352" t="str">
        <f t="shared" si="0"/>
        <v>三重今大店1</v>
      </c>
      <c r="E45" s="351">
        <v>1</v>
      </c>
      <c r="F45" s="351" t="s">
        <v>4219</v>
      </c>
      <c r="G45" s="352" t="s">
        <v>4590</v>
      </c>
      <c r="H45" s="351" t="s">
        <v>4483</v>
      </c>
      <c r="I45" s="353" t="s">
        <v>4490</v>
      </c>
      <c r="J45" s="354" t="str">
        <f>VLOOKUP(B45,'[5]0919門市清單主檔'!B:V,21,FALSE)</f>
        <v>三重區</v>
      </c>
      <c r="K45" s="355" t="s">
        <v>4485</v>
      </c>
      <c r="L45" s="351" t="s">
        <v>1749</v>
      </c>
      <c r="M45" s="354"/>
    </row>
    <row r="46" spans="1:13" ht="22.95" customHeight="1">
      <c r="A46" s="351" t="s">
        <v>4591</v>
      </c>
      <c r="B46" s="351">
        <v>4352</v>
      </c>
      <c r="C46" s="352" t="s">
        <v>374</v>
      </c>
      <c r="D46" s="352" t="str">
        <f t="shared" si="0"/>
        <v>三重公園店1</v>
      </c>
      <c r="E46" s="351">
        <v>1</v>
      </c>
      <c r="F46" s="351" t="s">
        <v>4351</v>
      </c>
      <c r="G46" s="352" t="s">
        <v>4592</v>
      </c>
      <c r="H46" s="351" t="s">
        <v>4488</v>
      </c>
      <c r="I46" s="353" t="s">
        <v>4484</v>
      </c>
      <c r="J46" s="354" t="str">
        <f>VLOOKUP(B46,'[5]0919門市清單主檔'!B:V,21,FALSE)</f>
        <v>三重區</v>
      </c>
      <c r="K46" s="355" t="s">
        <v>4485</v>
      </c>
      <c r="L46" s="351" t="s">
        <v>1749</v>
      </c>
      <c r="M46" s="354"/>
    </row>
    <row r="47" spans="1:13" ht="22.95" customHeight="1">
      <c r="A47" s="351" t="s">
        <v>4593</v>
      </c>
      <c r="B47" s="351">
        <v>4352</v>
      </c>
      <c r="C47" s="352" t="s">
        <v>374</v>
      </c>
      <c r="D47" s="352" t="str">
        <f t="shared" si="0"/>
        <v>三重公園店2</v>
      </c>
      <c r="E47" s="351">
        <v>2</v>
      </c>
      <c r="F47" s="351" t="s">
        <v>4352</v>
      </c>
      <c r="G47" s="352" t="s">
        <v>4594</v>
      </c>
      <c r="H47" s="351" t="s">
        <v>4488</v>
      </c>
      <c r="I47" s="353" t="s">
        <v>4484</v>
      </c>
      <c r="J47" s="354" t="str">
        <f>VLOOKUP(B47,'[5]0919門市清單主檔'!B:V,21,FALSE)</f>
        <v>三重區</v>
      </c>
      <c r="K47" s="355" t="s">
        <v>4485</v>
      </c>
      <c r="L47" s="351" t="s">
        <v>1749</v>
      </c>
      <c r="M47" s="354"/>
    </row>
    <row r="48" spans="1:13" ht="22.95" customHeight="1">
      <c r="A48" s="351" t="s">
        <v>4595</v>
      </c>
      <c r="B48" s="351">
        <v>4968</v>
      </c>
      <c r="C48" s="352" t="s">
        <v>576</v>
      </c>
      <c r="D48" s="352" t="str">
        <f t="shared" si="0"/>
        <v>三重太璞宮1</v>
      </c>
      <c r="E48" s="351">
        <v>1</v>
      </c>
      <c r="F48" s="351" t="s">
        <v>4194</v>
      </c>
      <c r="G48" s="352" t="s">
        <v>4596</v>
      </c>
      <c r="H48" s="351" t="s">
        <v>4483</v>
      </c>
      <c r="I48" s="353" t="s">
        <v>4597</v>
      </c>
      <c r="J48" s="354" t="str">
        <f>VLOOKUP(B48,'[5]0919門市清單主檔'!B:V,21,FALSE)</f>
        <v>三重區</v>
      </c>
      <c r="K48" s="355" t="s">
        <v>4485</v>
      </c>
      <c r="L48" s="351" t="s">
        <v>1749</v>
      </c>
      <c r="M48" s="354"/>
    </row>
    <row r="49" spans="1:13" ht="22.95" customHeight="1">
      <c r="A49" s="351" t="s">
        <v>4598</v>
      </c>
      <c r="B49" s="351">
        <v>4312</v>
      </c>
      <c r="C49" s="352" t="s">
        <v>364</v>
      </c>
      <c r="D49" s="352" t="str">
        <f t="shared" si="0"/>
        <v>三重文化北1</v>
      </c>
      <c r="E49" s="351">
        <v>1</v>
      </c>
      <c r="F49" s="351" t="s">
        <v>4231</v>
      </c>
      <c r="G49" s="352" t="s">
        <v>4599</v>
      </c>
      <c r="H49" s="351" t="s">
        <v>4483</v>
      </c>
      <c r="I49" s="353" t="s">
        <v>4484</v>
      </c>
      <c r="J49" s="354" t="str">
        <f>VLOOKUP(B49,'[5]0919門市清單主檔'!B:V,21,FALSE)</f>
        <v>三重區</v>
      </c>
      <c r="K49" s="355" t="s">
        <v>4485</v>
      </c>
      <c r="L49" s="351" t="s">
        <v>1749</v>
      </c>
      <c r="M49" s="354"/>
    </row>
    <row r="50" spans="1:13" ht="22.95" customHeight="1">
      <c r="A50" s="351" t="s">
        <v>4600</v>
      </c>
      <c r="B50" s="351">
        <v>4312</v>
      </c>
      <c r="C50" s="352" t="s">
        <v>364</v>
      </c>
      <c r="D50" s="352" t="str">
        <f t="shared" si="0"/>
        <v>三重文化北2</v>
      </c>
      <c r="E50" s="351">
        <v>2</v>
      </c>
      <c r="F50" s="351" t="s">
        <v>4232</v>
      </c>
      <c r="G50" s="352" t="s">
        <v>4601</v>
      </c>
      <c r="H50" s="351" t="s">
        <v>4483</v>
      </c>
      <c r="I50" s="353" t="s">
        <v>4484</v>
      </c>
      <c r="J50" s="354" t="str">
        <f>VLOOKUP(B50,'[5]0919門市清單主檔'!B:V,21,FALSE)</f>
        <v>三重區</v>
      </c>
      <c r="K50" s="355" t="s">
        <v>4485</v>
      </c>
      <c r="L50" s="351" t="s">
        <v>1749</v>
      </c>
      <c r="M50" s="354"/>
    </row>
    <row r="51" spans="1:13" ht="22.95" customHeight="1">
      <c r="A51" s="351" t="s">
        <v>4602</v>
      </c>
      <c r="B51" s="351" t="s">
        <v>20</v>
      </c>
      <c r="C51" s="352" t="s">
        <v>4125</v>
      </c>
      <c r="D51" s="352" t="str">
        <f t="shared" si="0"/>
        <v>三重正義北店1</v>
      </c>
      <c r="E51" s="351">
        <v>1</v>
      </c>
      <c r="F51" s="351" t="s">
        <v>4312</v>
      </c>
      <c r="G51" s="352" t="s">
        <v>4603</v>
      </c>
      <c r="H51" s="351" t="s">
        <v>4495</v>
      </c>
      <c r="I51" s="353" t="s">
        <v>4500</v>
      </c>
      <c r="J51" s="354" t="str">
        <f>VLOOKUP(B51,'[5]0919門市清單主檔'!B:V,21,FALSE)</f>
        <v>三重區</v>
      </c>
      <c r="K51" s="355" t="s">
        <v>4485</v>
      </c>
      <c r="L51" s="351" t="s">
        <v>1749</v>
      </c>
      <c r="M51" s="354"/>
    </row>
    <row r="52" spans="1:13" ht="22.95" customHeight="1">
      <c r="A52" s="351" t="s">
        <v>4604</v>
      </c>
      <c r="B52" s="351">
        <v>2349</v>
      </c>
      <c r="C52" s="352" t="s">
        <v>4091</v>
      </c>
      <c r="D52" s="352" t="str">
        <f t="shared" si="0"/>
        <v>三重永福店1</v>
      </c>
      <c r="E52" s="351">
        <v>1</v>
      </c>
      <c r="F52" s="351" t="s">
        <v>4324</v>
      </c>
      <c r="G52" s="352" t="s">
        <v>4605</v>
      </c>
      <c r="H52" s="351" t="s">
        <v>4495</v>
      </c>
      <c r="I52" s="353" t="s">
        <v>4490</v>
      </c>
      <c r="J52" s="354" t="str">
        <f>VLOOKUP(B52,'[5]0919門市清單主檔'!B:V,21,FALSE)</f>
        <v>三重區</v>
      </c>
      <c r="K52" s="355" t="s">
        <v>4485</v>
      </c>
      <c r="L52" s="351" t="s">
        <v>1749</v>
      </c>
      <c r="M52" s="354"/>
    </row>
    <row r="53" spans="1:13" ht="22.95" customHeight="1">
      <c r="A53" s="351" t="s">
        <v>4606</v>
      </c>
      <c r="B53" s="351">
        <v>2349</v>
      </c>
      <c r="C53" s="352" t="s">
        <v>4091</v>
      </c>
      <c r="D53" s="352" t="str">
        <f t="shared" si="0"/>
        <v>三重永福店2</v>
      </c>
      <c r="E53" s="351">
        <v>2</v>
      </c>
      <c r="F53" s="351" t="s">
        <v>4325</v>
      </c>
      <c r="G53" s="352" t="s">
        <v>4607</v>
      </c>
      <c r="H53" s="351" t="s">
        <v>4495</v>
      </c>
      <c r="I53" s="353" t="s">
        <v>4490</v>
      </c>
      <c r="J53" s="354" t="str">
        <f>VLOOKUP(B53,'[5]0919門市清單主檔'!B:V,21,FALSE)</f>
        <v>三重區</v>
      </c>
      <c r="K53" s="355" t="s">
        <v>4485</v>
      </c>
      <c r="L53" s="351" t="s">
        <v>1749</v>
      </c>
      <c r="M53" s="354"/>
    </row>
    <row r="54" spans="1:13" ht="22.95" customHeight="1">
      <c r="A54" s="351" t="s">
        <v>4608</v>
      </c>
      <c r="B54" s="351">
        <v>3676</v>
      </c>
      <c r="C54" s="352" t="s">
        <v>4102</v>
      </c>
      <c r="D54" s="352" t="str">
        <f t="shared" si="0"/>
        <v>三重田心店1</v>
      </c>
      <c r="E54" s="351">
        <v>1</v>
      </c>
      <c r="F54" s="351" t="s">
        <v>4229</v>
      </c>
      <c r="G54" s="356" t="s">
        <v>4609</v>
      </c>
      <c r="H54" s="351" t="s">
        <v>4488</v>
      </c>
      <c r="I54" s="353" t="s">
        <v>4484</v>
      </c>
      <c r="J54" s="354" t="str">
        <f>VLOOKUP(B54,'[5]0919門市清單主檔'!B:V,21,FALSE)</f>
        <v>三重區</v>
      </c>
      <c r="K54" s="355" t="s">
        <v>4485</v>
      </c>
      <c r="L54" s="351" t="s">
        <v>1749</v>
      </c>
      <c r="M54" s="354"/>
    </row>
    <row r="55" spans="1:13" ht="22.95" customHeight="1">
      <c r="A55" s="351" t="s">
        <v>4610</v>
      </c>
      <c r="B55" s="351">
        <v>3676</v>
      </c>
      <c r="C55" s="352" t="s">
        <v>4102</v>
      </c>
      <c r="D55" s="352" t="str">
        <f t="shared" si="0"/>
        <v>三重田心店2</v>
      </c>
      <c r="E55" s="351">
        <v>2</v>
      </c>
      <c r="F55" s="351" t="s">
        <v>4230</v>
      </c>
      <c r="G55" s="352" t="s">
        <v>4611</v>
      </c>
      <c r="H55" s="351" t="s">
        <v>4488</v>
      </c>
      <c r="I55" s="353" t="s">
        <v>4500</v>
      </c>
      <c r="J55" s="354" t="str">
        <f>VLOOKUP(B55,'[5]0919門市清單主檔'!B:V,21,FALSE)</f>
        <v>三重區</v>
      </c>
      <c r="K55" s="355" t="s">
        <v>4485</v>
      </c>
      <c r="L55" s="351" t="s">
        <v>1749</v>
      </c>
      <c r="M55" s="354"/>
    </row>
    <row r="56" spans="1:13" ht="22.95" customHeight="1">
      <c r="A56" s="351" t="s">
        <v>4612</v>
      </c>
      <c r="B56" s="351">
        <v>4539</v>
      </c>
      <c r="C56" s="352" t="s">
        <v>435</v>
      </c>
      <c r="D56" s="352" t="str">
        <f t="shared" si="0"/>
        <v>三重自信店1</v>
      </c>
      <c r="E56" s="351">
        <v>1</v>
      </c>
      <c r="F56" s="351" t="s">
        <v>4223</v>
      </c>
      <c r="G56" s="352" t="s">
        <v>4613</v>
      </c>
      <c r="H56" s="351" t="s">
        <v>4488</v>
      </c>
      <c r="I56" s="353" t="s">
        <v>4484</v>
      </c>
      <c r="J56" s="354" t="str">
        <f>VLOOKUP(B56,'[5]0919門市清單主檔'!B:V,21,FALSE)</f>
        <v>三重區</v>
      </c>
      <c r="K56" s="355" t="s">
        <v>4485</v>
      </c>
      <c r="L56" s="351" t="s">
        <v>1749</v>
      </c>
      <c r="M56" s="354"/>
    </row>
    <row r="57" spans="1:13" ht="22.95" customHeight="1">
      <c r="A57" s="351" t="s">
        <v>4614</v>
      </c>
      <c r="B57" s="351">
        <v>4539</v>
      </c>
      <c r="C57" s="352" t="s">
        <v>435</v>
      </c>
      <c r="D57" s="352" t="str">
        <f t="shared" si="0"/>
        <v>三重自信店2</v>
      </c>
      <c r="E57" s="351">
        <v>2</v>
      </c>
      <c r="F57" s="351" t="s">
        <v>4224</v>
      </c>
      <c r="G57" s="352" t="s">
        <v>4615</v>
      </c>
      <c r="H57" s="351" t="s">
        <v>4488</v>
      </c>
      <c r="I57" s="353" t="s">
        <v>4484</v>
      </c>
      <c r="J57" s="354" t="str">
        <f>VLOOKUP(B57,'[5]0919門市清單主檔'!B:V,21,FALSE)</f>
        <v>三重區</v>
      </c>
      <c r="K57" s="355" t="s">
        <v>4485</v>
      </c>
      <c r="L57" s="351" t="s">
        <v>1749</v>
      </c>
      <c r="M57" s="354"/>
    </row>
    <row r="58" spans="1:13" ht="22.95" customHeight="1">
      <c r="A58" s="351" t="s">
        <v>4616</v>
      </c>
      <c r="B58" s="351">
        <v>3623</v>
      </c>
      <c r="C58" s="352" t="s">
        <v>211</v>
      </c>
      <c r="D58" s="352" t="str">
        <f t="shared" si="0"/>
        <v>三重自強店1</v>
      </c>
      <c r="E58" s="351">
        <v>1</v>
      </c>
      <c r="F58" s="351" t="s">
        <v>4317</v>
      </c>
      <c r="G58" s="352" t="s">
        <v>4617</v>
      </c>
      <c r="H58" s="351" t="s">
        <v>4488</v>
      </c>
      <c r="I58" s="353" t="s">
        <v>4484</v>
      </c>
      <c r="J58" s="354" t="str">
        <f>VLOOKUP(B58,'[5]0919門市清單主檔'!B:V,21,FALSE)</f>
        <v>三重區</v>
      </c>
      <c r="K58" s="355" t="s">
        <v>4485</v>
      </c>
      <c r="L58" s="351" t="s">
        <v>1749</v>
      </c>
      <c r="M58" s="354"/>
    </row>
    <row r="59" spans="1:13" ht="22.95" customHeight="1">
      <c r="A59" s="351" t="s">
        <v>4618</v>
      </c>
      <c r="B59" s="351">
        <v>3623</v>
      </c>
      <c r="C59" s="352" t="s">
        <v>211</v>
      </c>
      <c r="D59" s="352" t="str">
        <f t="shared" si="0"/>
        <v>三重自強店2</v>
      </c>
      <c r="E59" s="351">
        <v>2</v>
      </c>
      <c r="F59" s="351" t="s">
        <v>4318</v>
      </c>
      <c r="G59" s="352" t="s">
        <v>4619</v>
      </c>
      <c r="H59" s="351" t="s">
        <v>4488</v>
      </c>
      <c r="I59" s="353" t="s">
        <v>4484</v>
      </c>
      <c r="J59" s="354" t="str">
        <f>VLOOKUP(B59,'[5]0919門市清單主檔'!B:V,21,FALSE)</f>
        <v>三重區</v>
      </c>
      <c r="K59" s="355" t="s">
        <v>4485</v>
      </c>
      <c r="L59" s="351" t="s">
        <v>1749</v>
      </c>
      <c r="M59" s="354"/>
    </row>
    <row r="60" spans="1:13" ht="22.95" customHeight="1">
      <c r="A60" s="351" t="s">
        <v>4620</v>
      </c>
      <c r="B60" s="351" t="s">
        <v>27</v>
      </c>
      <c r="C60" s="352" t="s">
        <v>4108</v>
      </c>
      <c r="D60" s="352" t="str">
        <f t="shared" si="0"/>
        <v>三重車路頭1</v>
      </c>
      <c r="E60" s="351">
        <v>1</v>
      </c>
      <c r="F60" s="351" t="s">
        <v>4621</v>
      </c>
      <c r="G60" s="352" t="s">
        <v>4622</v>
      </c>
      <c r="H60" s="351" t="s">
        <v>4488</v>
      </c>
      <c r="I60" s="353" t="s">
        <v>4484</v>
      </c>
      <c r="J60" s="354" t="str">
        <f>VLOOKUP(B60,'[5]0919門市清單主檔'!B:V,21,FALSE)</f>
        <v>三重區</v>
      </c>
      <c r="K60" s="355" t="s">
        <v>4485</v>
      </c>
      <c r="L60" s="351" t="s">
        <v>1749</v>
      </c>
      <c r="M60" s="354"/>
    </row>
    <row r="61" spans="1:13" ht="22.95" customHeight="1">
      <c r="A61" s="351" t="s">
        <v>4623</v>
      </c>
      <c r="B61" s="351">
        <v>4977</v>
      </c>
      <c r="C61" s="352" t="s">
        <v>578</v>
      </c>
      <c r="D61" s="352" t="str">
        <f t="shared" si="0"/>
        <v>三重初戀店1</v>
      </c>
      <c r="E61" s="351">
        <v>1</v>
      </c>
      <c r="F61" s="351" t="s">
        <v>4273</v>
      </c>
      <c r="G61" s="352" t="s">
        <v>4624</v>
      </c>
      <c r="H61" s="351" t="s">
        <v>4488</v>
      </c>
      <c r="I61" s="353" t="s">
        <v>4484</v>
      </c>
      <c r="J61" s="354" t="str">
        <f>VLOOKUP(B61,'[5]0919門市清單主檔'!B:V,21,FALSE)</f>
        <v>三重區</v>
      </c>
      <c r="K61" s="355" t="s">
        <v>4485</v>
      </c>
      <c r="L61" s="351" t="s">
        <v>1749</v>
      </c>
      <c r="M61" s="354"/>
    </row>
    <row r="62" spans="1:13" ht="22.95" customHeight="1">
      <c r="A62" s="351" t="s">
        <v>4625</v>
      </c>
      <c r="B62" s="351">
        <v>4977</v>
      </c>
      <c r="C62" s="352" t="s">
        <v>578</v>
      </c>
      <c r="D62" s="352" t="str">
        <f t="shared" si="0"/>
        <v>三重初戀店2</v>
      </c>
      <c r="E62" s="351">
        <v>2</v>
      </c>
      <c r="F62" s="351" t="s">
        <v>4274</v>
      </c>
      <c r="G62" s="352" t="s">
        <v>4626</v>
      </c>
      <c r="H62" s="351" t="s">
        <v>4488</v>
      </c>
      <c r="I62" s="353" t="s">
        <v>4484</v>
      </c>
      <c r="J62" s="354" t="str">
        <f>VLOOKUP(B62,'[5]0919門市清單主檔'!B:V,21,FALSE)</f>
        <v>三重區</v>
      </c>
      <c r="K62" s="355" t="s">
        <v>4485</v>
      </c>
      <c r="L62" s="351" t="s">
        <v>1749</v>
      </c>
      <c r="M62" s="354"/>
    </row>
    <row r="63" spans="1:13" ht="22.95" customHeight="1">
      <c r="A63" s="351" t="s">
        <v>4627</v>
      </c>
      <c r="B63" s="351">
        <v>2935</v>
      </c>
      <c r="C63" s="352" t="s">
        <v>148</v>
      </c>
      <c r="D63" s="352" t="str">
        <f t="shared" si="0"/>
        <v>三重夜市口1</v>
      </c>
      <c r="E63" s="351">
        <v>1</v>
      </c>
      <c r="F63" s="351" t="s">
        <v>4306</v>
      </c>
      <c r="G63" s="352" t="s">
        <v>4628</v>
      </c>
      <c r="H63" s="351" t="s">
        <v>4488</v>
      </c>
      <c r="I63" s="353" t="s">
        <v>4484</v>
      </c>
      <c r="J63" s="354" t="str">
        <f>VLOOKUP(B63,'[5]0919門市清單主檔'!B:V,21,FALSE)</f>
        <v>三重區</v>
      </c>
      <c r="K63" s="355" t="s">
        <v>4485</v>
      </c>
      <c r="L63" s="351" t="s">
        <v>1749</v>
      </c>
      <c r="M63" s="354"/>
    </row>
    <row r="64" spans="1:13" ht="22.95" customHeight="1">
      <c r="A64" s="351" t="s">
        <v>4629</v>
      </c>
      <c r="B64" s="351">
        <v>2935</v>
      </c>
      <c r="C64" s="352" t="s">
        <v>148</v>
      </c>
      <c r="D64" s="352" t="str">
        <f t="shared" si="0"/>
        <v>三重夜市口2</v>
      </c>
      <c r="E64" s="351">
        <v>2</v>
      </c>
      <c r="F64" s="351" t="s">
        <v>4307</v>
      </c>
      <c r="G64" s="352" t="s">
        <v>4630</v>
      </c>
      <c r="H64" s="351" t="s">
        <v>4488</v>
      </c>
      <c r="I64" s="353" t="s">
        <v>4500</v>
      </c>
      <c r="J64" s="354" t="str">
        <f>VLOOKUP(B64,'[5]0919門市清單主檔'!B:V,21,FALSE)</f>
        <v>三重區</v>
      </c>
      <c r="K64" s="355" t="s">
        <v>4485</v>
      </c>
      <c r="L64" s="351" t="s">
        <v>1749</v>
      </c>
      <c r="M64" s="354"/>
    </row>
    <row r="65" spans="1:13" ht="22.95" customHeight="1">
      <c r="A65" s="351" t="s">
        <v>4631</v>
      </c>
      <c r="B65" s="351">
        <v>4084</v>
      </c>
      <c r="C65" s="352" t="s">
        <v>309</v>
      </c>
      <c r="D65" s="352" t="str">
        <f t="shared" si="0"/>
        <v>三重昌隆店1</v>
      </c>
      <c r="E65" s="351">
        <v>1</v>
      </c>
      <c r="F65" s="351" t="s">
        <v>4202</v>
      </c>
      <c r="G65" s="352" t="s">
        <v>4632</v>
      </c>
      <c r="H65" s="351" t="s">
        <v>4488</v>
      </c>
      <c r="I65" s="353" t="s">
        <v>4490</v>
      </c>
      <c r="J65" s="354" t="str">
        <f>VLOOKUP(B65,'[5]0919門市清單主檔'!B:V,21,FALSE)</f>
        <v>三重區</v>
      </c>
      <c r="K65" s="355" t="s">
        <v>4485</v>
      </c>
      <c r="L65" s="351" t="s">
        <v>1749</v>
      </c>
      <c r="M65" s="354"/>
    </row>
    <row r="66" spans="1:13" ht="22.95" customHeight="1">
      <c r="A66" s="351" t="s">
        <v>4633</v>
      </c>
      <c r="B66" s="351">
        <v>4084</v>
      </c>
      <c r="C66" s="352" t="s">
        <v>309</v>
      </c>
      <c r="D66" s="352" t="str">
        <f t="shared" ref="D66:D129" si="1">C66&amp;E66</f>
        <v>三重昌隆店2</v>
      </c>
      <c r="E66" s="351">
        <v>2</v>
      </c>
      <c r="F66" s="351" t="s">
        <v>4203</v>
      </c>
      <c r="G66" s="352" t="s">
        <v>4634</v>
      </c>
      <c r="H66" s="351" t="s">
        <v>4488</v>
      </c>
      <c r="I66" s="353" t="s">
        <v>4490</v>
      </c>
      <c r="J66" s="354" t="str">
        <f>VLOOKUP(B66,'[5]0919門市清單主檔'!B:V,21,FALSE)</f>
        <v>三重區</v>
      </c>
      <c r="K66" s="355" t="s">
        <v>4485</v>
      </c>
      <c r="L66" s="351" t="s">
        <v>1749</v>
      </c>
      <c r="M66" s="354"/>
    </row>
    <row r="67" spans="1:13" ht="22.95" customHeight="1">
      <c r="A67" s="351" t="s">
        <v>4635</v>
      </c>
      <c r="B67" s="351">
        <v>3983</v>
      </c>
      <c r="C67" s="352" t="s">
        <v>283</v>
      </c>
      <c r="D67" s="352" t="str">
        <f t="shared" si="1"/>
        <v>三重星光店1</v>
      </c>
      <c r="E67" s="351">
        <v>1</v>
      </c>
      <c r="F67" s="351" t="s">
        <v>4214</v>
      </c>
      <c r="G67" s="352" t="s">
        <v>4636</v>
      </c>
      <c r="H67" s="351" t="s">
        <v>4488</v>
      </c>
      <c r="I67" s="353" t="s">
        <v>4484</v>
      </c>
      <c r="J67" s="354" t="str">
        <f>VLOOKUP(B67,'[5]0919門市清單主檔'!B:V,21,FALSE)</f>
        <v>三重區</v>
      </c>
      <c r="K67" s="355" t="s">
        <v>4485</v>
      </c>
      <c r="L67" s="351" t="s">
        <v>1749</v>
      </c>
      <c r="M67" s="354"/>
    </row>
    <row r="68" spans="1:13" ht="22.95" customHeight="1">
      <c r="A68" s="351" t="s">
        <v>4637</v>
      </c>
      <c r="B68" s="351">
        <v>3890</v>
      </c>
      <c r="C68" s="352" t="s">
        <v>257</v>
      </c>
      <c r="D68" s="352" t="str">
        <f t="shared" si="1"/>
        <v>三重美堤店1</v>
      </c>
      <c r="E68" s="351">
        <v>1</v>
      </c>
      <c r="F68" s="351" t="s">
        <v>4170</v>
      </c>
      <c r="G68" s="352" t="s">
        <v>4638</v>
      </c>
      <c r="H68" s="351" t="s">
        <v>4488</v>
      </c>
      <c r="I68" s="353" t="s">
        <v>4639</v>
      </c>
      <c r="J68" s="354" t="str">
        <f>VLOOKUP(B68,'[5]0919門市清單主檔'!B:V,21,FALSE)</f>
        <v>三重區</v>
      </c>
      <c r="K68" s="355" t="s">
        <v>4485</v>
      </c>
      <c r="L68" s="351" t="s">
        <v>1749</v>
      </c>
      <c r="M68" s="354"/>
    </row>
    <row r="69" spans="1:13" ht="22.95" customHeight="1">
      <c r="A69" s="351" t="s">
        <v>4640</v>
      </c>
      <c r="B69" s="351">
        <v>3890</v>
      </c>
      <c r="C69" s="352" t="s">
        <v>257</v>
      </c>
      <c r="D69" s="352" t="str">
        <f t="shared" si="1"/>
        <v>三重美堤店2</v>
      </c>
      <c r="E69" s="351">
        <v>2</v>
      </c>
      <c r="F69" s="351" t="s">
        <v>4171</v>
      </c>
      <c r="G69" s="352" t="s">
        <v>4641</v>
      </c>
      <c r="H69" s="351" t="s">
        <v>4488</v>
      </c>
      <c r="I69" s="353" t="s">
        <v>4639</v>
      </c>
      <c r="J69" s="354" t="str">
        <f>VLOOKUP(B69,'[5]0919門市清單主檔'!B:V,21,FALSE)</f>
        <v>三重區</v>
      </c>
      <c r="K69" s="355" t="s">
        <v>4485</v>
      </c>
      <c r="L69" s="351" t="s">
        <v>1749</v>
      </c>
      <c r="M69" s="354"/>
    </row>
    <row r="70" spans="1:13" ht="22.95" customHeight="1">
      <c r="A70" s="351" t="s">
        <v>4642</v>
      </c>
      <c r="B70" s="351">
        <v>4260</v>
      </c>
      <c r="C70" s="352" t="s">
        <v>350</v>
      </c>
      <c r="D70" s="352" t="str">
        <f t="shared" si="1"/>
        <v>三重重高店1</v>
      </c>
      <c r="E70" s="351">
        <v>1</v>
      </c>
      <c r="F70" s="351" t="s">
        <v>4204</v>
      </c>
      <c r="G70" s="352" t="s">
        <v>4643</v>
      </c>
      <c r="H70" s="351" t="s">
        <v>4488</v>
      </c>
      <c r="I70" s="353" t="s">
        <v>4484</v>
      </c>
      <c r="J70" s="354" t="str">
        <f>VLOOKUP(B70,'[5]0919門市清單主檔'!B:V,21,FALSE)</f>
        <v>三重區</v>
      </c>
      <c r="K70" s="355" t="s">
        <v>4485</v>
      </c>
      <c r="L70" s="351" t="s">
        <v>1749</v>
      </c>
      <c r="M70" s="354"/>
    </row>
    <row r="71" spans="1:13" ht="22.95" customHeight="1">
      <c r="A71" s="351" t="s">
        <v>4644</v>
      </c>
      <c r="B71" s="351">
        <v>4260</v>
      </c>
      <c r="C71" s="352" t="s">
        <v>350</v>
      </c>
      <c r="D71" s="352" t="str">
        <f t="shared" si="1"/>
        <v>三重重高店2</v>
      </c>
      <c r="E71" s="351">
        <v>2</v>
      </c>
      <c r="F71" s="351" t="s">
        <v>4205</v>
      </c>
      <c r="G71" s="352" t="s">
        <v>4645</v>
      </c>
      <c r="H71" s="351" t="s">
        <v>4488</v>
      </c>
      <c r="I71" s="353" t="s">
        <v>4484</v>
      </c>
      <c r="J71" s="354" t="str">
        <f>VLOOKUP(B71,'[5]0919門市清單主檔'!B:V,21,FALSE)</f>
        <v>三重區</v>
      </c>
      <c r="K71" s="355" t="s">
        <v>4485</v>
      </c>
      <c r="L71" s="351" t="s">
        <v>1749</v>
      </c>
      <c r="M71" s="354"/>
    </row>
    <row r="72" spans="1:13" ht="22.95" customHeight="1">
      <c r="A72" s="351" t="s">
        <v>4646</v>
      </c>
      <c r="B72" s="351">
        <v>3741</v>
      </c>
      <c r="C72" s="352" t="s">
        <v>1587</v>
      </c>
      <c r="D72" s="352" t="str">
        <f t="shared" si="1"/>
        <v>三重重新三1</v>
      </c>
      <c r="E72" s="351">
        <v>1</v>
      </c>
      <c r="F72" s="351" t="s">
        <v>4308</v>
      </c>
      <c r="G72" s="352" t="s">
        <v>4647</v>
      </c>
      <c r="H72" s="351" t="s">
        <v>4488</v>
      </c>
      <c r="I72" s="353" t="s">
        <v>4484</v>
      </c>
      <c r="J72" s="354" t="str">
        <f>VLOOKUP(B72,'[5]0919門市清單主檔'!B:V,21,FALSE)</f>
        <v>三重區</v>
      </c>
      <c r="K72" s="355" t="s">
        <v>4485</v>
      </c>
      <c r="L72" s="351" t="s">
        <v>1749</v>
      </c>
      <c r="M72" s="354"/>
    </row>
    <row r="73" spans="1:13" ht="22.95" customHeight="1">
      <c r="A73" s="351" t="s">
        <v>4648</v>
      </c>
      <c r="B73" s="351">
        <v>3741</v>
      </c>
      <c r="C73" s="352" t="s">
        <v>1587</v>
      </c>
      <c r="D73" s="352" t="str">
        <f t="shared" si="1"/>
        <v>三重重新三2</v>
      </c>
      <c r="E73" s="351">
        <v>2</v>
      </c>
      <c r="F73" s="351" t="s">
        <v>4309</v>
      </c>
      <c r="G73" s="352" t="s">
        <v>4649</v>
      </c>
      <c r="H73" s="351" t="s">
        <v>4488</v>
      </c>
      <c r="I73" s="353" t="s">
        <v>4484</v>
      </c>
      <c r="J73" s="354" t="str">
        <f>VLOOKUP(B73,'[5]0919門市清單主檔'!B:V,21,FALSE)</f>
        <v>三重區</v>
      </c>
      <c r="K73" s="355" t="s">
        <v>4485</v>
      </c>
      <c r="L73" s="351" t="s">
        <v>1749</v>
      </c>
      <c r="M73" s="354"/>
    </row>
    <row r="74" spans="1:13" ht="22.95" customHeight="1">
      <c r="A74" s="351" t="s">
        <v>4650</v>
      </c>
      <c r="B74" s="351" t="s">
        <v>36</v>
      </c>
      <c r="C74" s="352" t="s">
        <v>639</v>
      </c>
      <c r="D74" s="352" t="str">
        <f t="shared" si="1"/>
        <v>三重重新店1</v>
      </c>
      <c r="E74" s="351">
        <v>1</v>
      </c>
      <c r="F74" s="351" t="s">
        <v>4200</v>
      </c>
      <c r="G74" s="352" t="s">
        <v>4651</v>
      </c>
      <c r="H74" s="351" t="s">
        <v>4488</v>
      </c>
      <c r="I74" s="353" t="s">
        <v>4490</v>
      </c>
      <c r="J74" s="354" t="str">
        <f>VLOOKUP(B74,'[5]0919門市清單主檔'!B:V,21,FALSE)</f>
        <v>三重區</v>
      </c>
      <c r="K74" s="355" t="s">
        <v>4485</v>
      </c>
      <c r="L74" s="351" t="s">
        <v>1749</v>
      </c>
      <c r="M74" s="354"/>
    </row>
    <row r="75" spans="1:13" ht="22.95" customHeight="1">
      <c r="A75" s="351" t="s">
        <v>4652</v>
      </c>
      <c r="B75" s="351" t="s">
        <v>36</v>
      </c>
      <c r="C75" s="352" t="s">
        <v>639</v>
      </c>
      <c r="D75" s="352" t="str">
        <f t="shared" si="1"/>
        <v>三重重新店2</v>
      </c>
      <c r="E75" s="351">
        <v>2</v>
      </c>
      <c r="F75" s="351" t="s">
        <v>4201</v>
      </c>
      <c r="G75" s="352" t="s">
        <v>4653</v>
      </c>
      <c r="H75" s="351" t="s">
        <v>4488</v>
      </c>
      <c r="I75" s="353" t="s">
        <v>4490</v>
      </c>
      <c r="J75" s="354" t="str">
        <f>VLOOKUP(B75,'[5]0919門市清單主檔'!B:V,21,FALSE)</f>
        <v>三重區</v>
      </c>
      <c r="K75" s="355" t="s">
        <v>4485</v>
      </c>
      <c r="L75" s="351" t="s">
        <v>1749</v>
      </c>
      <c r="M75" s="354"/>
    </row>
    <row r="76" spans="1:13" ht="22.95" customHeight="1">
      <c r="A76" s="351" t="s">
        <v>4654</v>
      </c>
      <c r="B76" s="351">
        <v>3627</v>
      </c>
      <c r="C76" s="352" t="s">
        <v>213</v>
      </c>
      <c r="D76" s="352" t="str">
        <f t="shared" si="1"/>
        <v>三重重新橋1</v>
      </c>
      <c r="E76" s="351">
        <v>1</v>
      </c>
      <c r="F76" s="351" t="s">
        <v>4198</v>
      </c>
      <c r="G76" s="352" t="s">
        <v>4655</v>
      </c>
      <c r="H76" s="351" t="s">
        <v>4495</v>
      </c>
      <c r="I76" s="353" t="s">
        <v>4484</v>
      </c>
      <c r="J76" s="354" t="str">
        <f>VLOOKUP(B76,'[5]0919門市清單主檔'!B:V,21,FALSE)</f>
        <v>三重區</v>
      </c>
      <c r="K76" s="355" t="s">
        <v>4485</v>
      </c>
      <c r="L76" s="351" t="s">
        <v>1749</v>
      </c>
      <c r="M76" s="354"/>
    </row>
    <row r="77" spans="1:13" ht="22.95" customHeight="1">
      <c r="A77" s="351" t="s">
        <v>4656</v>
      </c>
      <c r="B77" s="351">
        <v>3627</v>
      </c>
      <c r="C77" s="352" t="s">
        <v>213</v>
      </c>
      <c r="D77" s="352" t="str">
        <f t="shared" si="1"/>
        <v>三重重新橋2</v>
      </c>
      <c r="E77" s="351">
        <v>2</v>
      </c>
      <c r="F77" s="351" t="s">
        <v>4199</v>
      </c>
      <c r="G77" s="352" t="s">
        <v>4657</v>
      </c>
      <c r="H77" s="351" t="s">
        <v>4483</v>
      </c>
      <c r="I77" s="353" t="s">
        <v>4500</v>
      </c>
      <c r="J77" s="354" t="str">
        <f>VLOOKUP(B77,'[5]0919門市清單主檔'!B:V,21,FALSE)</f>
        <v>三重區</v>
      </c>
      <c r="K77" s="355" t="s">
        <v>4485</v>
      </c>
      <c r="L77" s="351" t="s">
        <v>1749</v>
      </c>
      <c r="M77" s="354"/>
    </row>
    <row r="78" spans="1:13" ht="22.95" customHeight="1">
      <c r="A78" s="351" t="s">
        <v>4658</v>
      </c>
      <c r="B78" s="351">
        <v>4804</v>
      </c>
      <c r="C78" s="352" t="s">
        <v>531</v>
      </c>
      <c r="D78" s="352" t="str">
        <f t="shared" si="1"/>
        <v>三重國隆店1</v>
      </c>
      <c r="E78" s="351">
        <v>1</v>
      </c>
      <c r="F78" s="351" t="s">
        <v>4217</v>
      </c>
      <c r="G78" s="352" t="s">
        <v>4659</v>
      </c>
      <c r="H78" s="351" t="s">
        <v>4483</v>
      </c>
      <c r="I78" s="353" t="s">
        <v>4500</v>
      </c>
      <c r="J78" s="354" t="str">
        <f>VLOOKUP(B78,'[5]0919門市清單主檔'!B:V,21,FALSE)</f>
        <v>三重區</v>
      </c>
      <c r="K78" s="355" t="s">
        <v>4485</v>
      </c>
      <c r="L78" s="351" t="s">
        <v>1749</v>
      </c>
      <c r="M78" s="354"/>
    </row>
    <row r="79" spans="1:13" ht="22.95" customHeight="1">
      <c r="A79" s="351" t="s">
        <v>4660</v>
      </c>
      <c r="B79" s="351">
        <v>4804</v>
      </c>
      <c r="C79" s="352" t="s">
        <v>531</v>
      </c>
      <c r="D79" s="352" t="str">
        <f t="shared" si="1"/>
        <v>三重國隆店2</v>
      </c>
      <c r="E79" s="351">
        <v>2</v>
      </c>
      <c r="F79" s="351" t="s">
        <v>4218</v>
      </c>
      <c r="G79" s="352" t="s">
        <v>4661</v>
      </c>
      <c r="H79" s="351" t="s">
        <v>4495</v>
      </c>
      <c r="I79" s="353" t="s">
        <v>4484</v>
      </c>
      <c r="J79" s="354" t="str">
        <f>VLOOKUP(B79,'[5]0919門市清單主檔'!B:V,21,FALSE)</f>
        <v>三重區</v>
      </c>
      <c r="K79" s="355" t="s">
        <v>4485</v>
      </c>
      <c r="L79" s="351" t="s">
        <v>1749</v>
      </c>
      <c r="M79" s="354"/>
    </row>
    <row r="80" spans="1:13" ht="22.95" customHeight="1">
      <c r="A80" s="351" t="s">
        <v>4662</v>
      </c>
      <c r="B80" s="351">
        <v>4698</v>
      </c>
      <c r="C80" s="352" t="s">
        <v>487</v>
      </c>
      <c r="D80" s="352" t="str">
        <f t="shared" si="1"/>
        <v>三重頂崁店1</v>
      </c>
      <c r="E80" s="351">
        <v>1</v>
      </c>
      <c r="F80" s="351" t="s">
        <v>4294</v>
      </c>
      <c r="G80" s="352" t="s">
        <v>4663</v>
      </c>
      <c r="H80" s="351" t="s">
        <v>4483</v>
      </c>
      <c r="I80" s="353" t="s">
        <v>4484</v>
      </c>
      <c r="J80" s="354" t="str">
        <f>VLOOKUP(B80,'[5]0919門市清單主檔'!B:V,21,FALSE)</f>
        <v>三重區</v>
      </c>
      <c r="K80" s="355" t="s">
        <v>4485</v>
      </c>
      <c r="L80" s="351" t="s">
        <v>1749</v>
      </c>
      <c r="M80" s="354"/>
    </row>
    <row r="81" spans="1:13" ht="22.95" customHeight="1">
      <c r="A81" s="351" t="s">
        <v>4664</v>
      </c>
      <c r="B81" s="351">
        <v>4698</v>
      </c>
      <c r="C81" s="352" t="s">
        <v>487</v>
      </c>
      <c r="D81" s="352" t="str">
        <f t="shared" si="1"/>
        <v>三重頂崁店2</v>
      </c>
      <c r="E81" s="351">
        <v>2</v>
      </c>
      <c r="F81" s="351" t="s">
        <v>4295</v>
      </c>
      <c r="G81" s="352" t="s">
        <v>4665</v>
      </c>
      <c r="H81" s="351" t="s">
        <v>4483</v>
      </c>
      <c r="I81" s="353" t="s">
        <v>4484</v>
      </c>
      <c r="J81" s="354" t="str">
        <f>VLOOKUP(B81,'[5]0919門市清單主檔'!B:V,21,FALSE)</f>
        <v>三重區</v>
      </c>
      <c r="K81" s="355" t="s">
        <v>4485</v>
      </c>
      <c r="L81" s="351" t="s">
        <v>1749</v>
      </c>
      <c r="M81" s="354"/>
    </row>
    <row r="82" spans="1:13" ht="22.95" customHeight="1">
      <c r="A82" s="351" t="s">
        <v>4666</v>
      </c>
      <c r="B82" s="351">
        <v>3796</v>
      </c>
      <c r="C82" s="352" t="s">
        <v>4124</v>
      </c>
      <c r="D82" s="352" t="str">
        <f t="shared" si="1"/>
        <v>三重進安店1</v>
      </c>
      <c r="E82" s="351">
        <v>1</v>
      </c>
      <c r="F82" s="351" t="s">
        <v>4343</v>
      </c>
      <c r="G82" s="352" t="s">
        <v>4667</v>
      </c>
      <c r="H82" s="351" t="s">
        <v>4488</v>
      </c>
      <c r="I82" s="353" t="s">
        <v>4500</v>
      </c>
      <c r="J82" s="354" t="str">
        <f>VLOOKUP(B82,'[5]0919門市清單主檔'!B:V,21,FALSE)</f>
        <v>三重區</v>
      </c>
      <c r="K82" s="355" t="s">
        <v>4485</v>
      </c>
      <c r="L82" s="351" t="s">
        <v>1749</v>
      </c>
      <c r="M82" s="354"/>
    </row>
    <row r="83" spans="1:13" ht="22.95" customHeight="1">
      <c r="A83" s="351" t="s">
        <v>4668</v>
      </c>
      <c r="B83" s="351">
        <v>3796</v>
      </c>
      <c r="C83" s="352" t="s">
        <v>4124</v>
      </c>
      <c r="D83" s="352" t="str">
        <f t="shared" si="1"/>
        <v>三重進安店2</v>
      </c>
      <c r="E83" s="351">
        <v>2</v>
      </c>
      <c r="F83" s="351" t="s">
        <v>4344</v>
      </c>
      <c r="G83" s="352" t="s">
        <v>4669</v>
      </c>
      <c r="H83" s="351" t="s">
        <v>4488</v>
      </c>
      <c r="I83" s="353" t="s">
        <v>4484</v>
      </c>
      <c r="J83" s="354" t="str">
        <f>VLOOKUP(B83,'[5]0919門市清單主檔'!B:V,21,FALSE)</f>
        <v>三重區</v>
      </c>
      <c r="K83" s="355" t="s">
        <v>4485</v>
      </c>
      <c r="L83" s="351" t="s">
        <v>1749</v>
      </c>
      <c r="M83" s="354"/>
    </row>
    <row r="84" spans="1:13" ht="22.95" customHeight="1">
      <c r="A84" s="351" t="s">
        <v>4670</v>
      </c>
      <c r="B84" s="351">
        <v>4191</v>
      </c>
      <c r="C84" s="352" t="s">
        <v>329</v>
      </c>
      <c r="D84" s="352" t="str">
        <f t="shared" si="1"/>
        <v>三重溪美店1</v>
      </c>
      <c r="E84" s="351">
        <v>1</v>
      </c>
      <c r="F84" s="351" t="s">
        <v>4172</v>
      </c>
      <c r="G84" s="352" t="s">
        <v>4671</v>
      </c>
      <c r="H84" s="351" t="s">
        <v>4495</v>
      </c>
      <c r="I84" s="353" t="s">
        <v>4490</v>
      </c>
      <c r="J84" s="354" t="str">
        <f>VLOOKUP(B84,'[5]0919門市清單主檔'!B:V,21,FALSE)</f>
        <v>三重區</v>
      </c>
      <c r="K84" s="355" t="s">
        <v>4485</v>
      </c>
      <c r="L84" s="351" t="s">
        <v>1749</v>
      </c>
      <c r="M84" s="354"/>
    </row>
    <row r="85" spans="1:13" ht="22.95" customHeight="1">
      <c r="A85" s="351" t="s">
        <v>4672</v>
      </c>
      <c r="B85" s="351">
        <v>4191</v>
      </c>
      <c r="C85" s="352" t="s">
        <v>329</v>
      </c>
      <c r="D85" s="352" t="str">
        <f t="shared" si="1"/>
        <v>三重溪美店2</v>
      </c>
      <c r="E85" s="351">
        <v>2</v>
      </c>
      <c r="F85" s="351" t="s">
        <v>4173</v>
      </c>
      <c r="G85" s="352" t="s">
        <v>4673</v>
      </c>
      <c r="H85" s="351" t="s">
        <v>4483</v>
      </c>
      <c r="I85" s="353" t="s">
        <v>4490</v>
      </c>
      <c r="J85" s="354" t="str">
        <f>VLOOKUP(B85,'[5]0919門市清單主檔'!B:V,21,FALSE)</f>
        <v>三重區</v>
      </c>
      <c r="K85" s="355" t="s">
        <v>4485</v>
      </c>
      <c r="L85" s="351" t="s">
        <v>1749</v>
      </c>
      <c r="M85" s="354"/>
    </row>
    <row r="86" spans="1:13" ht="22.95" customHeight="1">
      <c r="A86" s="351" t="s">
        <v>4674</v>
      </c>
      <c r="B86" s="351">
        <v>2222</v>
      </c>
      <c r="C86" s="352" t="s">
        <v>1542</v>
      </c>
      <c r="D86" s="352" t="str">
        <f t="shared" si="1"/>
        <v>三重義天店1</v>
      </c>
      <c r="E86" s="351">
        <v>1</v>
      </c>
      <c r="F86" s="351" t="s">
        <v>4336</v>
      </c>
      <c r="G86" s="352" t="s">
        <v>4675</v>
      </c>
      <c r="H86" s="351" t="s">
        <v>4495</v>
      </c>
      <c r="I86" s="353" t="s">
        <v>4484</v>
      </c>
      <c r="J86" s="354" t="str">
        <f>VLOOKUP(B86,'[5]0919門市清單主檔'!B:V,21,FALSE)</f>
        <v>三重區</v>
      </c>
      <c r="K86" s="355" t="s">
        <v>4485</v>
      </c>
      <c r="L86" s="351" t="s">
        <v>1749</v>
      </c>
      <c r="M86" s="354"/>
    </row>
    <row r="87" spans="1:13" ht="22.95" customHeight="1">
      <c r="A87" s="351" t="s">
        <v>4676</v>
      </c>
      <c r="B87" s="351">
        <v>2222</v>
      </c>
      <c r="C87" s="352" t="s">
        <v>1542</v>
      </c>
      <c r="D87" s="352" t="str">
        <f t="shared" si="1"/>
        <v>三重義天店2</v>
      </c>
      <c r="E87" s="351">
        <v>2</v>
      </c>
      <c r="F87" s="351" t="s">
        <v>4337</v>
      </c>
      <c r="G87" s="352" t="s">
        <v>4677</v>
      </c>
      <c r="H87" s="351" t="s">
        <v>4488</v>
      </c>
      <c r="I87" s="353" t="s">
        <v>4500</v>
      </c>
      <c r="J87" s="354" t="str">
        <f>VLOOKUP(B87,'[5]0919門市清單主檔'!B:V,21,FALSE)</f>
        <v>三重區</v>
      </c>
      <c r="K87" s="355" t="s">
        <v>4485</v>
      </c>
      <c r="L87" s="351" t="s">
        <v>1749</v>
      </c>
      <c r="M87" s="354"/>
    </row>
    <row r="88" spans="1:13" ht="22.95" customHeight="1">
      <c r="A88" s="351" t="s">
        <v>4678</v>
      </c>
      <c r="B88" s="351">
        <v>3811</v>
      </c>
      <c r="C88" s="352" t="s">
        <v>4090</v>
      </c>
      <c r="D88" s="352" t="str">
        <f t="shared" si="1"/>
        <v>三重碧華公園1</v>
      </c>
      <c r="E88" s="351">
        <v>1</v>
      </c>
      <c r="F88" s="351" t="s">
        <v>4341</v>
      </c>
      <c r="G88" s="352" t="s">
        <v>4679</v>
      </c>
      <c r="H88" s="351" t="s">
        <v>4488</v>
      </c>
      <c r="I88" s="353" t="s">
        <v>4490</v>
      </c>
      <c r="J88" s="354" t="str">
        <f>VLOOKUP(B88,'[5]0919門市清單主檔'!B:V,21,FALSE)</f>
        <v>三重區</v>
      </c>
      <c r="K88" s="355" t="s">
        <v>4485</v>
      </c>
      <c r="L88" s="351" t="s">
        <v>1749</v>
      </c>
      <c r="M88" s="354"/>
    </row>
    <row r="89" spans="1:13" ht="22.95" customHeight="1">
      <c r="A89" s="351" t="s">
        <v>4680</v>
      </c>
      <c r="B89" s="351">
        <v>3811</v>
      </c>
      <c r="C89" s="352" t="s">
        <v>4090</v>
      </c>
      <c r="D89" s="352" t="str">
        <f t="shared" si="1"/>
        <v>三重碧華公園2</v>
      </c>
      <c r="E89" s="351">
        <v>2</v>
      </c>
      <c r="F89" s="351" t="s">
        <v>4342</v>
      </c>
      <c r="G89" s="352" t="s">
        <v>4681</v>
      </c>
      <c r="H89" s="351" t="s">
        <v>4488</v>
      </c>
      <c r="I89" s="353" t="s">
        <v>4490</v>
      </c>
      <c r="J89" s="354" t="str">
        <f>VLOOKUP(B89,'[5]0919門市清單主檔'!B:V,21,FALSE)</f>
        <v>三重區</v>
      </c>
      <c r="K89" s="355" t="s">
        <v>4485</v>
      </c>
      <c r="L89" s="351" t="s">
        <v>1749</v>
      </c>
      <c r="M89" s="354"/>
    </row>
    <row r="90" spans="1:13" ht="22.95" customHeight="1">
      <c r="A90" s="351" t="s">
        <v>4682</v>
      </c>
      <c r="B90" s="351">
        <v>3957</v>
      </c>
      <c r="C90" s="352" t="s">
        <v>273</v>
      </c>
      <c r="D90" s="352" t="str">
        <f t="shared" si="1"/>
        <v>三重福仁店1</v>
      </c>
      <c r="E90" s="351">
        <v>1</v>
      </c>
      <c r="F90" s="351" t="s">
        <v>4321</v>
      </c>
      <c r="G90" s="352" t="s">
        <v>4683</v>
      </c>
      <c r="H90" s="351" t="s">
        <v>4488</v>
      </c>
      <c r="I90" s="353" t="s">
        <v>4484</v>
      </c>
      <c r="J90" s="354" t="str">
        <f>VLOOKUP(B90,'[5]0919門市清單主檔'!B:V,21,FALSE)</f>
        <v>三重區</v>
      </c>
      <c r="K90" s="355" t="s">
        <v>4485</v>
      </c>
      <c r="L90" s="351" t="s">
        <v>1749</v>
      </c>
      <c r="M90" s="354"/>
    </row>
    <row r="91" spans="1:13" ht="22.95" customHeight="1">
      <c r="A91" s="351" t="s">
        <v>4684</v>
      </c>
      <c r="B91" s="351">
        <v>3957</v>
      </c>
      <c r="C91" s="352" t="s">
        <v>273</v>
      </c>
      <c r="D91" s="352" t="str">
        <f t="shared" si="1"/>
        <v>三重福仁店2</v>
      </c>
      <c r="E91" s="351">
        <v>2</v>
      </c>
      <c r="F91" s="351" t="s">
        <v>4322</v>
      </c>
      <c r="G91" s="352" t="s">
        <v>4685</v>
      </c>
      <c r="H91" s="351" t="s">
        <v>4488</v>
      </c>
      <c r="I91" s="353" t="s">
        <v>4484</v>
      </c>
      <c r="J91" s="354" t="str">
        <f>VLOOKUP(B91,'[5]0919門市清單主檔'!B:V,21,FALSE)</f>
        <v>三重區</v>
      </c>
      <c r="K91" s="355" t="s">
        <v>4485</v>
      </c>
      <c r="L91" s="351" t="s">
        <v>1749</v>
      </c>
      <c r="M91" s="354"/>
    </row>
    <row r="92" spans="1:13" ht="22.95" customHeight="1">
      <c r="A92" s="351" t="s">
        <v>4686</v>
      </c>
      <c r="B92" s="351">
        <v>4210</v>
      </c>
      <c r="C92" s="352" t="s">
        <v>334</v>
      </c>
      <c r="D92" s="352" t="str">
        <f t="shared" si="1"/>
        <v>三重福華店1</v>
      </c>
      <c r="E92" s="351">
        <v>1</v>
      </c>
      <c r="F92" s="351" t="s">
        <v>4330</v>
      </c>
      <c r="G92" s="352" t="s">
        <v>4687</v>
      </c>
      <c r="H92" s="351" t="s">
        <v>4483</v>
      </c>
      <c r="I92" s="353" t="s">
        <v>4484</v>
      </c>
      <c r="J92" s="354" t="str">
        <f>VLOOKUP(B92,'[5]0919門市清單主檔'!B:V,21,FALSE)</f>
        <v>三重區</v>
      </c>
      <c r="K92" s="355" t="s">
        <v>4485</v>
      </c>
      <c r="L92" s="351" t="s">
        <v>1749</v>
      </c>
      <c r="M92" s="354"/>
    </row>
    <row r="93" spans="1:13" ht="22.95" customHeight="1">
      <c r="A93" s="351" t="s">
        <v>4688</v>
      </c>
      <c r="B93" s="351">
        <v>4210</v>
      </c>
      <c r="C93" s="352" t="s">
        <v>334</v>
      </c>
      <c r="D93" s="352" t="str">
        <f t="shared" si="1"/>
        <v>三重福華店2</v>
      </c>
      <c r="E93" s="351">
        <v>2</v>
      </c>
      <c r="F93" s="351" t="s">
        <v>4331</v>
      </c>
      <c r="G93" s="352" t="s">
        <v>4689</v>
      </c>
      <c r="H93" s="351" t="s">
        <v>4483</v>
      </c>
      <c r="I93" s="353" t="s">
        <v>4484</v>
      </c>
      <c r="J93" s="354" t="str">
        <f>VLOOKUP(B93,'[5]0919門市清單主檔'!B:V,21,FALSE)</f>
        <v>三重區</v>
      </c>
      <c r="K93" s="355" t="s">
        <v>4485</v>
      </c>
      <c r="L93" s="351" t="s">
        <v>1749</v>
      </c>
      <c r="M93" s="354"/>
    </row>
    <row r="94" spans="1:13" ht="22.95" customHeight="1">
      <c r="A94" s="351" t="s">
        <v>4690</v>
      </c>
      <c r="B94" s="351" t="s">
        <v>28</v>
      </c>
      <c r="C94" s="352" t="s">
        <v>4100</v>
      </c>
      <c r="D94" s="352" t="str">
        <f t="shared" si="1"/>
        <v>三重維德店2</v>
      </c>
      <c r="E94" s="351">
        <v>2</v>
      </c>
      <c r="F94" s="351" t="s">
        <v>4323</v>
      </c>
      <c r="G94" s="352" t="s">
        <v>4691</v>
      </c>
      <c r="H94" s="351" t="s">
        <v>4488</v>
      </c>
      <c r="I94" s="353" t="s">
        <v>4484</v>
      </c>
      <c r="J94" s="354" t="str">
        <f>VLOOKUP(B94,'[5]0919門市清單主檔'!B:V,21,FALSE)</f>
        <v>三重區</v>
      </c>
      <c r="K94" s="355" t="s">
        <v>4485</v>
      </c>
      <c r="L94" s="351" t="s">
        <v>1749</v>
      </c>
      <c r="M94" s="354"/>
    </row>
    <row r="95" spans="1:13" ht="22.95" customHeight="1">
      <c r="A95" s="351" t="s">
        <v>4692</v>
      </c>
      <c r="B95" s="351">
        <v>4155</v>
      </c>
      <c r="C95" s="352" t="s">
        <v>320</v>
      </c>
      <c r="D95" s="352" t="str">
        <f t="shared" si="1"/>
        <v>三重穀保店1</v>
      </c>
      <c r="E95" s="351">
        <v>1</v>
      </c>
      <c r="F95" s="351" t="s">
        <v>4191</v>
      </c>
      <c r="G95" s="352" t="s">
        <v>4693</v>
      </c>
      <c r="H95" s="351" t="s">
        <v>4495</v>
      </c>
      <c r="I95" s="353" t="s">
        <v>4484</v>
      </c>
      <c r="J95" s="354" t="str">
        <f>VLOOKUP(B95,'[5]0919門市清單主檔'!B:V,21,FALSE)</f>
        <v>三重區</v>
      </c>
      <c r="K95" s="355" t="s">
        <v>4485</v>
      </c>
      <c r="L95" s="351" t="s">
        <v>1749</v>
      </c>
      <c r="M95" s="354"/>
    </row>
    <row r="96" spans="1:13" ht="22.95" customHeight="1">
      <c r="A96" s="351" t="s">
        <v>4694</v>
      </c>
      <c r="B96" s="351">
        <v>4196</v>
      </c>
      <c r="C96" s="352" t="s">
        <v>331</v>
      </c>
      <c r="D96" s="352" t="str">
        <f t="shared" si="1"/>
        <v>三重蝶愛店1</v>
      </c>
      <c r="E96" s="351">
        <v>1</v>
      </c>
      <c r="F96" s="351" t="s">
        <v>4328</v>
      </c>
      <c r="G96" s="352" t="s">
        <v>4695</v>
      </c>
      <c r="H96" s="351" t="s">
        <v>4488</v>
      </c>
      <c r="I96" s="353" t="s">
        <v>4484</v>
      </c>
      <c r="J96" s="354" t="str">
        <f>VLOOKUP(B96,'[5]0919門市清單主檔'!B:V,21,FALSE)</f>
        <v>三重區</v>
      </c>
      <c r="K96" s="355" t="s">
        <v>4485</v>
      </c>
      <c r="L96" s="351" t="s">
        <v>1749</v>
      </c>
      <c r="M96" s="354"/>
    </row>
    <row r="97" spans="1:13" ht="22.95" customHeight="1">
      <c r="A97" s="351" t="s">
        <v>4696</v>
      </c>
      <c r="B97" s="351">
        <v>4196</v>
      </c>
      <c r="C97" s="352" t="s">
        <v>331</v>
      </c>
      <c r="D97" s="352" t="str">
        <f t="shared" si="1"/>
        <v>三重蝶愛店2</v>
      </c>
      <c r="E97" s="351">
        <v>2</v>
      </c>
      <c r="F97" s="351" t="s">
        <v>4329</v>
      </c>
      <c r="G97" s="352" t="s">
        <v>4697</v>
      </c>
      <c r="H97" s="351" t="s">
        <v>4488</v>
      </c>
      <c r="I97" s="353" t="s">
        <v>4484</v>
      </c>
      <c r="J97" s="354" t="str">
        <f>VLOOKUP(B97,'[5]0919門市清單主檔'!B:V,21,FALSE)</f>
        <v>三重區</v>
      </c>
      <c r="K97" s="355" t="s">
        <v>4485</v>
      </c>
      <c r="L97" s="351" t="s">
        <v>1749</v>
      </c>
      <c r="M97" s="354"/>
    </row>
    <row r="98" spans="1:13" ht="22.95" customHeight="1">
      <c r="A98" s="351" t="s">
        <v>4698</v>
      </c>
      <c r="B98" s="351">
        <v>2259</v>
      </c>
      <c r="C98" s="352" t="s">
        <v>1462</v>
      </c>
      <c r="D98" s="352" t="str">
        <f t="shared" si="1"/>
        <v>三重興華店1</v>
      </c>
      <c r="E98" s="351">
        <v>1</v>
      </c>
      <c r="F98" s="351" t="s">
        <v>4174</v>
      </c>
      <c r="G98" s="352" t="s">
        <v>4699</v>
      </c>
      <c r="H98" s="351" t="s">
        <v>4495</v>
      </c>
      <c r="I98" s="353" t="s">
        <v>4500</v>
      </c>
      <c r="J98" s="354" t="str">
        <f>VLOOKUP(B98,'[5]0919門市清單主檔'!B:V,21,FALSE)</f>
        <v>三重區</v>
      </c>
      <c r="K98" s="355" t="s">
        <v>4485</v>
      </c>
      <c r="L98" s="351" t="s">
        <v>1749</v>
      </c>
      <c r="M98" s="354"/>
    </row>
    <row r="99" spans="1:13" ht="22.95" customHeight="1">
      <c r="A99" s="351" t="s">
        <v>4700</v>
      </c>
      <c r="B99" s="351">
        <v>2259</v>
      </c>
      <c r="C99" s="352" t="s">
        <v>1462</v>
      </c>
      <c r="D99" s="352" t="str">
        <f t="shared" si="1"/>
        <v>三重興華店2</v>
      </c>
      <c r="E99" s="351">
        <v>2</v>
      </c>
      <c r="F99" s="351" t="s">
        <v>4175</v>
      </c>
      <c r="G99" s="352" t="s">
        <v>4701</v>
      </c>
      <c r="H99" s="351" t="s">
        <v>4483</v>
      </c>
      <c r="I99" s="353" t="s">
        <v>4500</v>
      </c>
      <c r="J99" s="354" t="str">
        <f>VLOOKUP(B99,'[5]0919門市清單主檔'!B:V,21,FALSE)</f>
        <v>三重區</v>
      </c>
      <c r="K99" s="355" t="s">
        <v>4485</v>
      </c>
      <c r="L99" s="351" t="s">
        <v>1749</v>
      </c>
      <c r="M99" s="354"/>
    </row>
    <row r="100" spans="1:13" ht="22.95" customHeight="1">
      <c r="A100" s="351" t="s">
        <v>4702</v>
      </c>
      <c r="B100" s="351" t="s">
        <v>25</v>
      </c>
      <c r="C100" s="352" t="s">
        <v>4161</v>
      </c>
      <c r="D100" s="352" t="str">
        <f t="shared" si="1"/>
        <v>三重興德店1</v>
      </c>
      <c r="E100" s="351">
        <v>1</v>
      </c>
      <c r="F100" s="351" t="s">
        <v>4271</v>
      </c>
      <c r="G100" s="352" t="s">
        <v>4703</v>
      </c>
      <c r="H100" s="351" t="s">
        <v>4488</v>
      </c>
      <c r="I100" s="353" t="s">
        <v>4484</v>
      </c>
      <c r="J100" s="354" t="str">
        <f>VLOOKUP(B100,'[5]0919門市清單主檔'!B:V,21,FALSE)</f>
        <v>三重區</v>
      </c>
      <c r="K100" s="355" t="s">
        <v>4485</v>
      </c>
      <c r="L100" s="351" t="s">
        <v>1749</v>
      </c>
      <c r="M100" s="354"/>
    </row>
    <row r="101" spans="1:13" ht="22.95" customHeight="1">
      <c r="A101" s="351" t="s">
        <v>4704</v>
      </c>
      <c r="B101" s="351" t="s">
        <v>25</v>
      </c>
      <c r="C101" s="352" t="s">
        <v>4161</v>
      </c>
      <c r="D101" s="352" t="str">
        <f t="shared" si="1"/>
        <v>三重興德店2</v>
      </c>
      <c r="E101" s="351">
        <v>2</v>
      </c>
      <c r="F101" s="351" t="s">
        <v>4272</v>
      </c>
      <c r="G101" s="352" t="s">
        <v>4705</v>
      </c>
      <c r="H101" s="351" t="s">
        <v>4488</v>
      </c>
      <c r="I101" s="353" t="s">
        <v>4484</v>
      </c>
      <c r="J101" s="354" t="str">
        <f>VLOOKUP(B101,'[5]0919門市清單主檔'!B:V,21,FALSE)</f>
        <v>三重區</v>
      </c>
      <c r="K101" s="355" t="s">
        <v>4485</v>
      </c>
      <c r="L101" s="351" t="s">
        <v>1749</v>
      </c>
      <c r="M101" s="354"/>
    </row>
    <row r="102" spans="1:13" ht="22.95" customHeight="1">
      <c r="A102" s="351" t="s">
        <v>4706</v>
      </c>
      <c r="B102" s="351">
        <v>4029</v>
      </c>
      <c r="C102" s="352" t="s">
        <v>297</v>
      </c>
      <c r="D102" s="352" t="str">
        <f t="shared" si="1"/>
        <v>三重龍濱店1</v>
      </c>
      <c r="E102" s="351">
        <v>1</v>
      </c>
      <c r="F102" s="351" t="s">
        <v>4313</v>
      </c>
      <c r="G102" s="352" t="s">
        <v>4707</v>
      </c>
      <c r="H102" s="351" t="s">
        <v>4488</v>
      </c>
      <c r="I102" s="353" t="s">
        <v>4484</v>
      </c>
      <c r="J102" s="354" t="str">
        <f>VLOOKUP(B102,'[5]0919門市清單主檔'!B:V,21,FALSE)</f>
        <v>三重區</v>
      </c>
      <c r="K102" s="355" t="s">
        <v>4485</v>
      </c>
      <c r="L102" s="351" t="s">
        <v>1749</v>
      </c>
      <c r="M102" s="354"/>
    </row>
    <row r="103" spans="1:13" ht="22.95" customHeight="1">
      <c r="A103" s="351" t="s">
        <v>4708</v>
      </c>
      <c r="B103" s="351">
        <v>4029</v>
      </c>
      <c r="C103" s="352" t="s">
        <v>297</v>
      </c>
      <c r="D103" s="352" t="str">
        <f t="shared" si="1"/>
        <v>三重龍濱店2</v>
      </c>
      <c r="E103" s="351">
        <v>2</v>
      </c>
      <c r="F103" s="351" t="s">
        <v>4314</v>
      </c>
      <c r="G103" s="352" t="s">
        <v>4709</v>
      </c>
      <c r="H103" s="351" t="s">
        <v>4488</v>
      </c>
      <c r="I103" s="353" t="s">
        <v>4484</v>
      </c>
      <c r="J103" s="354" t="str">
        <f>VLOOKUP(B103,'[5]0919門市清單主檔'!B:V,21,FALSE)</f>
        <v>三重區</v>
      </c>
      <c r="K103" s="355" t="s">
        <v>4485</v>
      </c>
      <c r="L103" s="351" t="s">
        <v>1749</v>
      </c>
      <c r="M103" s="354"/>
    </row>
    <row r="104" spans="1:13" ht="22.95" customHeight="1">
      <c r="A104" s="351" t="s">
        <v>4710</v>
      </c>
      <c r="B104" s="351">
        <v>4388</v>
      </c>
      <c r="C104" s="352" t="s">
        <v>386</v>
      </c>
      <c r="D104" s="352" t="str">
        <f t="shared" si="1"/>
        <v>三重薔薇店1</v>
      </c>
      <c r="E104" s="351">
        <v>1</v>
      </c>
      <c r="F104" s="351" t="s">
        <v>4319</v>
      </c>
      <c r="G104" s="352" t="s">
        <v>4489</v>
      </c>
      <c r="H104" s="351" t="s">
        <v>4495</v>
      </c>
      <c r="I104" s="353" t="s">
        <v>4500</v>
      </c>
      <c r="J104" s="354" t="str">
        <f>VLOOKUP(B104,'[5]0919門市清單主檔'!B:V,21,FALSE)</f>
        <v>三重區</v>
      </c>
      <c r="K104" s="355" t="s">
        <v>4485</v>
      </c>
      <c r="L104" s="351" t="s">
        <v>1749</v>
      </c>
      <c r="M104" s="354"/>
    </row>
    <row r="105" spans="1:13" ht="22.95" customHeight="1">
      <c r="A105" s="351" t="s">
        <v>4711</v>
      </c>
      <c r="B105" s="351">
        <v>4388</v>
      </c>
      <c r="C105" s="352" t="s">
        <v>386</v>
      </c>
      <c r="D105" s="352" t="str">
        <f t="shared" si="1"/>
        <v>三重薔薇店2</v>
      </c>
      <c r="E105" s="351">
        <v>2</v>
      </c>
      <c r="F105" s="351" t="s">
        <v>4320</v>
      </c>
      <c r="G105" s="352" t="s">
        <v>4712</v>
      </c>
      <c r="H105" s="351" t="s">
        <v>4483</v>
      </c>
      <c r="I105" s="353" t="s">
        <v>4484</v>
      </c>
      <c r="J105" s="354" t="str">
        <f>VLOOKUP(B105,'[5]0919門市清單主檔'!B:V,21,FALSE)</f>
        <v>三重區</v>
      </c>
      <c r="K105" s="355" t="s">
        <v>4485</v>
      </c>
      <c r="L105" s="351" t="s">
        <v>1749</v>
      </c>
      <c r="M105" s="354"/>
    </row>
    <row r="106" spans="1:13" ht="22.95" customHeight="1">
      <c r="A106" s="351" t="s">
        <v>4732</v>
      </c>
      <c r="B106" s="351" t="s">
        <v>39</v>
      </c>
      <c r="C106" s="352" t="s">
        <v>653</v>
      </c>
      <c r="D106" s="352" t="str">
        <f t="shared" si="1"/>
        <v>北縣三愛三店1</v>
      </c>
      <c r="E106" s="351">
        <v>1</v>
      </c>
      <c r="F106" s="351" t="s">
        <v>4326</v>
      </c>
      <c r="G106" s="352" t="s">
        <v>4733</v>
      </c>
      <c r="H106" s="351" t="s">
        <v>4488</v>
      </c>
      <c r="I106" s="353" t="s">
        <v>4484</v>
      </c>
      <c r="J106" s="354" t="str">
        <f>VLOOKUP(B106,'[5]0919門市清單主檔'!B:V,21,FALSE)</f>
        <v>三重區</v>
      </c>
      <c r="K106" s="355" t="s">
        <v>4485</v>
      </c>
      <c r="L106" s="351" t="s">
        <v>1749</v>
      </c>
      <c r="M106" s="354"/>
    </row>
    <row r="107" spans="1:13" ht="22.95" customHeight="1">
      <c r="A107" s="351" t="s">
        <v>4734</v>
      </c>
      <c r="B107" s="351" t="s">
        <v>39</v>
      </c>
      <c r="C107" s="352" t="s">
        <v>653</v>
      </c>
      <c r="D107" s="352" t="str">
        <f t="shared" si="1"/>
        <v>北縣三愛三店2</v>
      </c>
      <c r="E107" s="351">
        <v>2</v>
      </c>
      <c r="F107" s="351" t="s">
        <v>4327</v>
      </c>
      <c r="G107" s="352" t="s">
        <v>4735</v>
      </c>
      <c r="H107" s="351" t="s">
        <v>4488</v>
      </c>
      <c r="I107" s="353" t="s">
        <v>4484</v>
      </c>
      <c r="J107" s="354" t="str">
        <f>VLOOKUP(B107,'[5]0919門市清單主檔'!B:V,21,FALSE)</f>
        <v>三重區</v>
      </c>
      <c r="K107" s="355" t="s">
        <v>4485</v>
      </c>
      <c r="L107" s="351" t="s">
        <v>1749</v>
      </c>
      <c r="M107" s="354"/>
    </row>
    <row r="108" spans="1:13" ht="22.95" customHeight="1">
      <c r="A108" s="351" t="s">
        <v>4736</v>
      </c>
      <c r="B108" s="351" t="s">
        <v>40</v>
      </c>
      <c r="C108" s="352" t="s">
        <v>656</v>
      </c>
      <c r="D108" s="352" t="str">
        <f t="shared" si="1"/>
        <v>北縣中陽店1</v>
      </c>
      <c r="E108" s="351">
        <v>1</v>
      </c>
      <c r="F108" s="351" t="s">
        <v>4215</v>
      </c>
      <c r="G108" s="352" t="s">
        <v>4737</v>
      </c>
      <c r="H108" s="351" t="s">
        <v>4488</v>
      </c>
      <c r="I108" s="353" t="s">
        <v>4484</v>
      </c>
      <c r="J108" s="354" t="str">
        <f>VLOOKUP(B108,'[5]0919門市清單主檔'!B:V,21,FALSE)</f>
        <v>三重區</v>
      </c>
      <c r="K108" s="355" t="s">
        <v>4485</v>
      </c>
      <c r="L108" s="351" t="s">
        <v>1749</v>
      </c>
      <c r="M108" s="354"/>
    </row>
    <row r="109" spans="1:13" ht="22.95" customHeight="1">
      <c r="A109" s="351" t="s">
        <v>4738</v>
      </c>
      <c r="B109" s="351" t="s">
        <v>40</v>
      </c>
      <c r="C109" s="352" t="s">
        <v>656</v>
      </c>
      <c r="D109" s="352" t="str">
        <f t="shared" si="1"/>
        <v>北縣中陽店2</v>
      </c>
      <c r="E109" s="351">
        <v>2</v>
      </c>
      <c r="F109" s="351" t="s">
        <v>4216</v>
      </c>
      <c r="G109" s="352" t="s">
        <v>4739</v>
      </c>
      <c r="H109" s="351" t="s">
        <v>4488</v>
      </c>
      <c r="I109" s="353" t="s">
        <v>4484</v>
      </c>
      <c r="J109" s="354" t="str">
        <f>VLOOKUP(B109,'[5]0919門市清單主檔'!B:V,21,FALSE)</f>
        <v>三重區</v>
      </c>
      <c r="K109" s="355" t="s">
        <v>4485</v>
      </c>
      <c r="L109" s="351" t="s">
        <v>1749</v>
      </c>
      <c r="M109" s="354"/>
    </row>
    <row r="110" spans="1:13" ht="22.95" customHeight="1">
      <c r="A110" s="351" t="s">
        <v>4744</v>
      </c>
      <c r="B110" s="351" t="s">
        <v>26</v>
      </c>
      <c r="C110" s="352" t="s">
        <v>645</v>
      </c>
      <c r="D110" s="352" t="str">
        <f t="shared" si="1"/>
        <v>北縣五華三店1</v>
      </c>
      <c r="E110" s="351">
        <v>1</v>
      </c>
      <c r="F110" s="351" t="s">
        <v>4345</v>
      </c>
      <c r="G110" s="352" t="s">
        <v>4745</v>
      </c>
      <c r="H110" s="351" t="s">
        <v>4495</v>
      </c>
      <c r="I110" s="353" t="s">
        <v>4484</v>
      </c>
      <c r="J110" s="354" t="str">
        <f>VLOOKUP(B110,'[5]0919門市清單主檔'!B:V,21,FALSE)</f>
        <v>三重區</v>
      </c>
      <c r="K110" s="355" t="s">
        <v>4485</v>
      </c>
      <c r="L110" s="351" t="s">
        <v>1749</v>
      </c>
      <c r="M110" s="354"/>
    </row>
    <row r="111" spans="1:13" ht="22.95" customHeight="1">
      <c r="A111" s="351" t="s">
        <v>4746</v>
      </c>
      <c r="B111" s="351" t="s">
        <v>26</v>
      </c>
      <c r="C111" s="352" t="s">
        <v>645</v>
      </c>
      <c r="D111" s="352" t="str">
        <f t="shared" si="1"/>
        <v>北縣五華三店2</v>
      </c>
      <c r="E111" s="351">
        <v>2</v>
      </c>
      <c r="F111" s="351" t="s">
        <v>4346</v>
      </c>
      <c r="G111" s="352" t="s">
        <v>4747</v>
      </c>
      <c r="H111" s="351" t="s">
        <v>4495</v>
      </c>
      <c r="I111" s="353" t="s">
        <v>4484</v>
      </c>
      <c r="J111" s="354" t="str">
        <f>VLOOKUP(B111,'[5]0919門市清單主檔'!B:V,21,FALSE)</f>
        <v>三重區</v>
      </c>
      <c r="K111" s="355" t="s">
        <v>4485</v>
      </c>
      <c r="L111" s="351" t="s">
        <v>1749</v>
      </c>
      <c r="M111" s="354"/>
    </row>
    <row r="112" spans="1:13" ht="22.95" customHeight="1">
      <c r="A112" s="351" t="s">
        <v>4748</v>
      </c>
      <c r="B112" s="351" t="s">
        <v>37</v>
      </c>
      <c r="C112" s="352" t="s">
        <v>649</v>
      </c>
      <c r="D112" s="352" t="str">
        <f t="shared" si="1"/>
        <v>北縣仁和店1</v>
      </c>
      <c r="E112" s="351">
        <v>1</v>
      </c>
      <c r="F112" s="351" t="s">
        <v>4338</v>
      </c>
      <c r="G112" s="352" t="s">
        <v>4749</v>
      </c>
      <c r="H112" s="351" t="s">
        <v>4495</v>
      </c>
      <c r="I112" s="353" t="s">
        <v>4484</v>
      </c>
      <c r="J112" s="354" t="str">
        <f>VLOOKUP(B112,'[5]0919門市清單主檔'!B:V,21,FALSE)</f>
        <v>三重區</v>
      </c>
      <c r="K112" s="355" t="s">
        <v>4485</v>
      </c>
      <c r="L112" s="351" t="s">
        <v>1749</v>
      </c>
      <c r="M112" s="354"/>
    </row>
    <row r="113" spans="1:13" ht="22.95" customHeight="1">
      <c r="A113" s="351" t="s">
        <v>4750</v>
      </c>
      <c r="B113" s="351" t="s">
        <v>37</v>
      </c>
      <c r="C113" s="352" t="s">
        <v>649</v>
      </c>
      <c r="D113" s="352" t="str">
        <f t="shared" si="1"/>
        <v>北縣仁和店2</v>
      </c>
      <c r="E113" s="351">
        <v>2</v>
      </c>
      <c r="F113" s="351" t="s">
        <v>4339</v>
      </c>
      <c r="G113" s="352" t="s">
        <v>4751</v>
      </c>
      <c r="H113" s="351" t="s">
        <v>4495</v>
      </c>
      <c r="I113" s="353" t="s">
        <v>4500</v>
      </c>
      <c r="J113" s="354" t="str">
        <f>VLOOKUP(B113,'[5]0919門市清單主檔'!B:V,21,FALSE)</f>
        <v>三重區</v>
      </c>
      <c r="K113" s="355" t="s">
        <v>4485</v>
      </c>
      <c r="L113" s="351" t="s">
        <v>1749</v>
      </c>
      <c r="M113" s="354"/>
    </row>
    <row r="114" spans="1:13" ht="22.95" customHeight="1">
      <c r="A114" s="351" t="s">
        <v>4752</v>
      </c>
      <c r="B114" s="351">
        <v>3840</v>
      </c>
      <c r="C114" s="352" t="s">
        <v>247</v>
      </c>
      <c r="D114" s="352" t="str">
        <f t="shared" si="1"/>
        <v>北縣天龍店1</v>
      </c>
      <c r="E114" s="351">
        <v>1</v>
      </c>
      <c r="F114" s="351" t="s">
        <v>4353</v>
      </c>
      <c r="G114" s="352" t="s">
        <v>4753</v>
      </c>
      <c r="H114" s="351" t="s">
        <v>4488</v>
      </c>
      <c r="I114" s="353" t="s">
        <v>4484</v>
      </c>
      <c r="J114" s="354" t="str">
        <f>VLOOKUP(B114,'[5]0919門市清單主檔'!B:V,21,FALSE)</f>
        <v>三重區</v>
      </c>
      <c r="K114" s="355" t="s">
        <v>4485</v>
      </c>
      <c r="L114" s="351" t="s">
        <v>1749</v>
      </c>
      <c r="M114" s="354"/>
    </row>
    <row r="115" spans="1:13" ht="22.95" customHeight="1">
      <c r="A115" s="351" t="s">
        <v>4754</v>
      </c>
      <c r="B115" s="351">
        <v>3840</v>
      </c>
      <c r="C115" s="352" t="s">
        <v>247</v>
      </c>
      <c r="D115" s="352" t="str">
        <f t="shared" si="1"/>
        <v>北縣天龍店2</v>
      </c>
      <c r="E115" s="351">
        <v>2</v>
      </c>
      <c r="F115" s="351" t="s">
        <v>4354</v>
      </c>
      <c r="G115" s="352" t="s">
        <v>4755</v>
      </c>
      <c r="H115" s="351" t="s">
        <v>4483</v>
      </c>
      <c r="I115" s="353" t="s">
        <v>4500</v>
      </c>
      <c r="J115" s="354" t="str">
        <f>VLOOKUP(B115,'[5]0919門市清單主檔'!B:V,21,FALSE)</f>
        <v>三重區</v>
      </c>
      <c r="K115" s="355" t="s">
        <v>4485</v>
      </c>
      <c r="L115" s="351" t="s">
        <v>1749</v>
      </c>
      <c r="M115" s="354"/>
    </row>
    <row r="116" spans="1:13" ht="22.95" customHeight="1">
      <c r="A116" s="351" t="s">
        <v>4792</v>
      </c>
      <c r="B116" s="351">
        <v>2302</v>
      </c>
      <c r="C116" s="352" t="s">
        <v>89</v>
      </c>
      <c r="D116" s="352" t="str">
        <f t="shared" si="1"/>
        <v>北縣重安店1</v>
      </c>
      <c r="E116" s="351">
        <v>1</v>
      </c>
      <c r="F116" s="351" t="s">
        <v>4332</v>
      </c>
      <c r="G116" s="352" t="s">
        <v>4489</v>
      </c>
      <c r="H116" s="351" t="s">
        <v>4495</v>
      </c>
      <c r="I116" s="353" t="s">
        <v>4484</v>
      </c>
      <c r="J116" s="354" t="str">
        <f>VLOOKUP(B116,'[5]0919門市清單主檔'!B:V,21,FALSE)</f>
        <v>三重區</v>
      </c>
      <c r="K116" s="355" t="s">
        <v>4485</v>
      </c>
      <c r="L116" s="351" t="s">
        <v>1749</v>
      </c>
      <c r="M116" s="354"/>
    </row>
    <row r="117" spans="1:13" ht="22.95" customHeight="1">
      <c r="A117" s="351" t="s">
        <v>4793</v>
      </c>
      <c r="B117" s="351">
        <v>2302</v>
      </c>
      <c r="C117" s="352" t="s">
        <v>89</v>
      </c>
      <c r="D117" s="352" t="str">
        <f t="shared" si="1"/>
        <v>北縣重安店2</v>
      </c>
      <c r="E117" s="351">
        <v>2</v>
      </c>
      <c r="F117" s="351" t="s">
        <v>4333</v>
      </c>
      <c r="G117" s="352" t="s">
        <v>4794</v>
      </c>
      <c r="H117" s="351" t="s">
        <v>4495</v>
      </c>
      <c r="I117" s="353" t="s">
        <v>4484</v>
      </c>
      <c r="J117" s="354" t="str">
        <f>VLOOKUP(B117,'[5]0919門市清單主檔'!B:V,21,FALSE)</f>
        <v>三重區</v>
      </c>
      <c r="K117" s="355" t="s">
        <v>4485</v>
      </c>
      <c r="L117" s="351" t="s">
        <v>1749</v>
      </c>
      <c r="M117" s="354"/>
    </row>
    <row r="118" spans="1:13" ht="22.95" customHeight="1">
      <c r="A118" s="351" t="s">
        <v>4795</v>
      </c>
      <c r="B118" s="351">
        <v>3362</v>
      </c>
      <c r="C118" s="352" t="s">
        <v>184</v>
      </c>
      <c r="D118" s="352" t="str">
        <f t="shared" si="1"/>
        <v>北縣重武店2</v>
      </c>
      <c r="E118" s="351">
        <v>2</v>
      </c>
      <c r="F118" s="351" t="s">
        <v>4169</v>
      </c>
      <c r="G118" s="352" t="s">
        <v>4796</v>
      </c>
      <c r="H118" s="351" t="s">
        <v>4488</v>
      </c>
      <c r="I118" s="353" t="s">
        <v>4484</v>
      </c>
      <c r="J118" s="354" t="str">
        <f>VLOOKUP(B118,'[5]0919門市清單主檔'!B:V,21,FALSE)</f>
        <v>三重區</v>
      </c>
      <c r="K118" s="355" t="s">
        <v>4485</v>
      </c>
      <c r="L118" s="351" t="s">
        <v>1749</v>
      </c>
      <c r="M118" s="354"/>
    </row>
    <row r="119" spans="1:13" ht="22.95" customHeight="1">
      <c r="A119" s="351" t="s">
        <v>4797</v>
      </c>
      <c r="B119" s="351">
        <v>2209</v>
      </c>
      <c r="C119" s="352" t="s">
        <v>76</v>
      </c>
      <c r="D119" s="352" t="str">
        <f t="shared" si="1"/>
        <v>北縣重強店2</v>
      </c>
      <c r="E119" s="351">
        <v>2</v>
      </c>
      <c r="F119" s="351" t="s">
        <v>4222</v>
      </c>
      <c r="G119" s="352" t="s">
        <v>4798</v>
      </c>
      <c r="H119" s="351" t="s">
        <v>4495</v>
      </c>
      <c r="I119" s="353" t="s">
        <v>4484</v>
      </c>
      <c r="J119" s="354" t="str">
        <f>VLOOKUP(B119,'[5]0919門市清單主檔'!B:V,21,FALSE)</f>
        <v>三重區</v>
      </c>
      <c r="K119" s="355" t="s">
        <v>4485</v>
      </c>
      <c r="L119" s="351" t="s">
        <v>1749</v>
      </c>
      <c r="M119" s="354"/>
    </row>
    <row r="120" spans="1:13" ht="22.95" customHeight="1">
      <c r="A120" s="351" t="s">
        <v>4799</v>
      </c>
      <c r="B120" s="351">
        <v>3601</v>
      </c>
      <c r="C120" s="352" t="s">
        <v>207</v>
      </c>
      <c r="D120" s="352" t="str">
        <f t="shared" si="1"/>
        <v>北縣重富店1</v>
      </c>
      <c r="E120" s="351">
        <v>1</v>
      </c>
      <c r="F120" s="351" t="s">
        <v>4355</v>
      </c>
      <c r="G120" s="352" t="s">
        <v>4800</v>
      </c>
      <c r="H120" s="351" t="s">
        <v>4495</v>
      </c>
      <c r="I120" s="353" t="s">
        <v>4484</v>
      </c>
      <c r="J120" s="354" t="str">
        <f>VLOOKUP(B120,'[5]0919門市清單主檔'!B:V,21,FALSE)</f>
        <v>三重區</v>
      </c>
      <c r="K120" s="355" t="s">
        <v>4485</v>
      </c>
      <c r="L120" s="351" t="s">
        <v>1749</v>
      </c>
      <c r="M120" s="354"/>
    </row>
    <row r="121" spans="1:13" ht="22.95" customHeight="1">
      <c r="A121" s="351" t="s">
        <v>4801</v>
      </c>
      <c r="B121" s="351">
        <v>3601</v>
      </c>
      <c r="C121" s="352" t="s">
        <v>207</v>
      </c>
      <c r="D121" s="352" t="str">
        <f t="shared" si="1"/>
        <v>北縣重富店2</v>
      </c>
      <c r="E121" s="351">
        <v>2</v>
      </c>
      <c r="F121" s="351" t="s">
        <v>4356</v>
      </c>
      <c r="G121" s="352" t="s">
        <v>4802</v>
      </c>
      <c r="H121" s="351" t="s">
        <v>4495</v>
      </c>
      <c r="I121" s="353" t="s">
        <v>4484</v>
      </c>
      <c r="J121" s="354" t="str">
        <f>VLOOKUP(B121,'[5]0919門市清單主檔'!B:V,21,FALSE)</f>
        <v>三重區</v>
      </c>
      <c r="K121" s="355" t="s">
        <v>4485</v>
      </c>
      <c r="L121" s="351" t="s">
        <v>1749</v>
      </c>
      <c r="M121" s="354"/>
    </row>
    <row r="122" spans="1:13" ht="22.95" customHeight="1">
      <c r="A122" s="351" t="s">
        <v>4803</v>
      </c>
      <c r="B122" s="351">
        <v>2837</v>
      </c>
      <c r="C122" s="352" t="s">
        <v>139</v>
      </c>
      <c r="D122" s="352" t="str">
        <f t="shared" si="1"/>
        <v>北縣重萬店1</v>
      </c>
      <c r="E122" s="351">
        <v>1</v>
      </c>
      <c r="F122" s="351" t="s">
        <v>4176</v>
      </c>
      <c r="G122" s="352" t="s">
        <v>4804</v>
      </c>
      <c r="H122" s="351" t="s">
        <v>4488</v>
      </c>
      <c r="I122" s="353" t="s">
        <v>4484</v>
      </c>
      <c r="J122" s="354" t="str">
        <f>VLOOKUP(B122,'[5]0919門市清單主檔'!B:V,21,FALSE)</f>
        <v>三重區</v>
      </c>
      <c r="K122" s="355" t="s">
        <v>4485</v>
      </c>
      <c r="L122" s="351" t="s">
        <v>1749</v>
      </c>
      <c r="M122" s="354"/>
    </row>
    <row r="123" spans="1:13" ht="22.95" customHeight="1">
      <c r="A123" s="351" t="s">
        <v>4805</v>
      </c>
      <c r="B123" s="351">
        <v>2837</v>
      </c>
      <c r="C123" s="352" t="s">
        <v>139</v>
      </c>
      <c r="D123" s="352" t="str">
        <f t="shared" si="1"/>
        <v>北縣重萬店2</v>
      </c>
      <c r="E123" s="351">
        <v>2</v>
      </c>
      <c r="F123" s="351" t="s">
        <v>4177</v>
      </c>
      <c r="G123" s="352" t="s">
        <v>4806</v>
      </c>
      <c r="H123" s="351" t="s">
        <v>4488</v>
      </c>
      <c r="I123" s="353" t="s">
        <v>4500</v>
      </c>
      <c r="J123" s="354" t="str">
        <f>VLOOKUP(B123,'[5]0919門市清單主檔'!B:V,21,FALSE)</f>
        <v>三重區</v>
      </c>
      <c r="K123" s="355" t="s">
        <v>4485</v>
      </c>
      <c r="L123" s="351" t="s">
        <v>1749</v>
      </c>
      <c r="M123" s="354"/>
    </row>
    <row r="124" spans="1:13" ht="22.95" customHeight="1">
      <c r="A124" s="351" t="s">
        <v>4807</v>
      </c>
      <c r="B124" s="351">
        <v>2321</v>
      </c>
      <c r="C124" s="352" t="s">
        <v>93</v>
      </c>
      <c r="D124" s="352" t="str">
        <f t="shared" si="1"/>
        <v>北縣重鑫店1</v>
      </c>
      <c r="E124" s="351">
        <v>1</v>
      </c>
      <c r="F124" s="351" t="s">
        <v>4206</v>
      </c>
      <c r="G124" s="352" t="s">
        <v>4808</v>
      </c>
      <c r="H124" s="351" t="s">
        <v>4495</v>
      </c>
      <c r="I124" s="353" t="s">
        <v>4484</v>
      </c>
      <c r="J124" s="354" t="str">
        <f>VLOOKUP(B124,'[5]0919門市清單主檔'!B:V,21,FALSE)</f>
        <v>三重區</v>
      </c>
      <c r="K124" s="355" t="s">
        <v>4485</v>
      </c>
      <c r="L124" s="351" t="s">
        <v>1749</v>
      </c>
      <c r="M124" s="354"/>
    </row>
    <row r="125" spans="1:13" ht="22.95" customHeight="1">
      <c r="A125" s="351" t="s">
        <v>4809</v>
      </c>
      <c r="B125" s="351">
        <v>2321</v>
      </c>
      <c r="C125" s="352" t="s">
        <v>93</v>
      </c>
      <c r="D125" s="352" t="str">
        <f t="shared" si="1"/>
        <v>北縣重鑫店2</v>
      </c>
      <c r="E125" s="351">
        <v>2</v>
      </c>
      <c r="F125" s="351" t="s">
        <v>4207</v>
      </c>
      <c r="G125" s="352" t="s">
        <v>4810</v>
      </c>
      <c r="H125" s="351" t="s">
        <v>4495</v>
      </c>
      <c r="I125" s="353" t="s">
        <v>4484</v>
      </c>
      <c r="J125" s="354" t="str">
        <f>VLOOKUP(B125,'[5]0919門市清單主檔'!B:V,21,FALSE)</f>
        <v>三重區</v>
      </c>
      <c r="K125" s="355" t="s">
        <v>4485</v>
      </c>
      <c r="L125" s="351" t="s">
        <v>1749</v>
      </c>
      <c r="M125" s="354"/>
    </row>
    <row r="126" spans="1:13" ht="22.95" customHeight="1">
      <c r="A126" s="351" t="s">
        <v>4831</v>
      </c>
      <c r="B126" s="351" t="s">
        <v>21</v>
      </c>
      <c r="C126" s="352" t="s">
        <v>638</v>
      </c>
      <c r="D126" s="352" t="str">
        <f t="shared" si="1"/>
        <v>北縣溪尾二店1</v>
      </c>
      <c r="E126" s="351">
        <v>1</v>
      </c>
      <c r="F126" s="351" t="s">
        <v>4347</v>
      </c>
      <c r="G126" s="352" t="s">
        <v>4832</v>
      </c>
      <c r="H126" s="351" t="s">
        <v>4488</v>
      </c>
      <c r="I126" s="353" t="s">
        <v>4484</v>
      </c>
      <c r="J126" s="354" t="str">
        <f>VLOOKUP(B126,'[5]0919門市清單主檔'!B:V,21,FALSE)</f>
        <v>三重區</v>
      </c>
      <c r="K126" s="355" t="s">
        <v>4485</v>
      </c>
      <c r="L126" s="351" t="s">
        <v>1749</v>
      </c>
      <c r="M126" s="354"/>
    </row>
    <row r="127" spans="1:13" ht="22.95" customHeight="1">
      <c r="A127" s="351" t="s">
        <v>4833</v>
      </c>
      <c r="B127" s="351" t="s">
        <v>21</v>
      </c>
      <c r="C127" s="352" t="s">
        <v>638</v>
      </c>
      <c r="D127" s="352" t="str">
        <f t="shared" si="1"/>
        <v>北縣溪尾二店2</v>
      </c>
      <c r="E127" s="351">
        <v>2</v>
      </c>
      <c r="F127" s="351" t="s">
        <v>4348</v>
      </c>
      <c r="G127" s="352" t="s">
        <v>4834</v>
      </c>
      <c r="H127" s="351" t="s">
        <v>4488</v>
      </c>
      <c r="I127" s="353" t="s">
        <v>4484</v>
      </c>
      <c r="J127" s="354" t="str">
        <f>VLOOKUP(B127,'[5]0919門市清單主檔'!B:V,21,FALSE)</f>
        <v>三重區</v>
      </c>
      <c r="K127" s="355" t="s">
        <v>4485</v>
      </c>
      <c r="L127" s="351" t="s">
        <v>1749</v>
      </c>
      <c r="M127" s="354"/>
    </row>
    <row r="128" spans="1:13" ht="22.95" customHeight="1">
      <c r="A128" s="351" t="s">
        <v>4481</v>
      </c>
      <c r="B128" s="351">
        <v>2535</v>
      </c>
      <c r="C128" s="352" t="s">
        <v>110</v>
      </c>
      <c r="D128" s="352" t="str">
        <f t="shared" si="1"/>
        <v>五股五工店1</v>
      </c>
      <c r="E128" s="351">
        <v>1</v>
      </c>
      <c r="F128" s="351" t="s">
        <v>4421</v>
      </c>
      <c r="G128" s="352" t="s">
        <v>4482</v>
      </c>
      <c r="H128" s="351" t="s">
        <v>4483</v>
      </c>
      <c r="I128" s="353" t="s">
        <v>4484</v>
      </c>
      <c r="J128" s="354" t="str">
        <f>VLOOKUP(B128,'[5]0919門市清單主檔'!B:V,21,FALSE)</f>
        <v>五股區</v>
      </c>
      <c r="K128" s="355" t="s">
        <v>4485</v>
      </c>
      <c r="L128" s="351" t="s">
        <v>1749</v>
      </c>
      <c r="M128" s="354"/>
    </row>
    <row r="129" spans="1:13" ht="22.95" customHeight="1">
      <c r="A129" s="351" t="s">
        <v>4513</v>
      </c>
      <c r="B129" s="351" t="s">
        <v>858</v>
      </c>
      <c r="C129" s="352" t="s">
        <v>859</v>
      </c>
      <c r="D129" s="352" t="str">
        <f t="shared" si="1"/>
        <v>五股訓練教室1</v>
      </c>
      <c r="E129" s="351">
        <v>1</v>
      </c>
      <c r="F129" s="351" t="s">
        <v>4422</v>
      </c>
      <c r="G129" s="352" t="s">
        <v>4514</v>
      </c>
      <c r="H129" s="351" t="s">
        <v>4488</v>
      </c>
      <c r="I129" s="353" t="s">
        <v>4484</v>
      </c>
      <c r="J129" s="354" t="str">
        <f>VLOOKUP(B129,'[5]0919門市清單主檔'!B:V,21,FALSE)</f>
        <v>五股區</v>
      </c>
      <c r="K129" s="355" t="s">
        <v>4485</v>
      </c>
      <c r="L129" s="351" t="s">
        <v>851</v>
      </c>
      <c r="M129" s="354"/>
    </row>
    <row r="130" spans="1:13" ht="22.95" customHeight="1">
      <c r="A130" s="351" t="s">
        <v>4713</v>
      </c>
      <c r="B130" s="351">
        <v>3227</v>
      </c>
      <c r="C130" s="352" t="s">
        <v>173</v>
      </c>
      <c r="D130" s="352" t="str">
        <f t="shared" ref="D130:D193" si="2">C130&amp;E130</f>
        <v>五股四維店2</v>
      </c>
      <c r="E130" s="351">
        <v>2</v>
      </c>
      <c r="F130" s="351" t="s">
        <v>4254</v>
      </c>
      <c r="G130" s="352" t="s">
        <v>4714</v>
      </c>
      <c r="H130" s="351" t="s">
        <v>4495</v>
      </c>
      <c r="I130" s="353" t="s">
        <v>4484</v>
      </c>
      <c r="J130" s="354" t="str">
        <f>VLOOKUP(B130,'[5]0919門市清單主檔'!B:V,21,FALSE)</f>
        <v>五股區</v>
      </c>
      <c r="K130" s="355" t="s">
        <v>4485</v>
      </c>
      <c r="L130" s="351" t="s">
        <v>1749</v>
      </c>
      <c r="M130" s="354"/>
    </row>
    <row r="131" spans="1:13" ht="22.95" customHeight="1">
      <c r="A131" s="351" t="s">
        <v>4715</v>
      </c>
      <c r="B131" s="351">
        <v>4801</v>
      </c>
      <c r="C131" s="352" t="s">
        <v>528</v>
      </c>
      <c r="D131" s="352" t="str">
        <f t="shared" si="2"/>
        <v>五股成州店1</v>
      </c>
      <c r="E131" s="351">
        <v>1</v>
      </c>
      <c r="F131" s="351" t="s">
        <v>4241</v>
      </c>
      <c r="G131" s="352" t="s">
        <v>4716</v>
      </c>
      <c r="H131" s="351" t="s">
        <v>4483</v>
      </c>
      <c r="I131" s="353" t="s">
        <v>4484</v>
      </c>
      <c r="J131" s="354" t="str">
        <f>VLOOKUP(B131,'[5]0919門市清單主檔'!B:V,21,FALSE)</f>
        <v>五股區</v>
      </c>
      <c r="K131" s="355" t="s">
        <v>4485</v>
      </c>
      <c r="L131" s="351" t="s">
        <v>1749</v>
      </c>
      <c r="M131" s="354"/>
    </row>
    <row r="132" spans="1:13" ht="22.95" customHeight="1">
      <c r="A132" s="351" t="s">
        <v>4717</v>
      </c>
      <c r="B132" s="351">
        <v>4801</v>
      </c>
      <c r="C132" s="352" t="s">
        <v>528</v>
      </c>
      <c r="D132" s="352" t="str">
        <f t="shared" si="2"/>
        <v>五股成州店2</v>
      </c>
      <c r="E132" s="351">
        <v>2</v>
      </c>
      <c r="F132" s="351" t="s">
        <v>4242</v>
      </c>
      <c r="G132" s="352" t="s">
        <v>4718</v>
      </c>
      <c r="H132" s="351" t="s">
        <v>4483</v>
      </c>
      <c r="I132" s="353" t="s">
        <v>4484</v>
      </c>
      <c r="J132" s="354" t="str">
        <f>VLOOKUP(B132,'[5]0919門市清單主檔'!B:V,21,FALSE)</f>
        <v>五股區</v>
      </c>
      <c r="K132" s="355" t="s">
        <v>4485</v>
      </c>
      <c r="L132" s="351" t="s">
        <v>1749</v>
      </c>
      <c r="M132" s="354"/>
    </row>
    <row r="133" spans="1:13" ht="22.95" customHeight="1">
      <c r="A133" s="351" t="s">
        <v>4719</v>
      </c>
      <c r="B133" s="351">
        <v>4819</v>
      </c>
      <c r="C133" s="352" t="s">
        <v>534</v>
      </c>
      <c r="D133" s="352" t="str">
        <f t="shared" si="2"/>
        <v>五股凌雲店1</v>
      </c>
      <c r="E133" s="351">
        <v>1</v>
      </c>
      <c r="F133" s="351" t="s">
        <v>4239</v>
      </c>
      <c r="G133" s="352" t="s">
        <v>4720</v>
      </c>
      <c r="H133" s="351" t="s">
        <v>4488</v>
      </c>
      <c r="I133" s="353" t="s">
        <v>4484</v>
      </c>
      <c r="J133" s="354" t="str">
        <f>VLOOKUP(B133,'[5]0919門市清單主檔'!B:V,21,FALSE)</f>
        <v>五股區</v>
      </c>
      <c r="K133" s="355" t="s">
        <v>4485</v>
      </c>
      <c r="L133" s="351" t="s">
        <v>1749</v>
      </c>
      <c r="M133" s="354"/>
    </row>
    <row r="134" spans="1:13" ht="22.95" customHeight="1">
      <c r="A134" s="351" t="s">
        <v>4721</v>
      </c>
      <c r="B134" s="351">
        <v>4819</v>
      </c>
      <c r="C134" s="352" t="s">
        <v>534</v>
      </c>
      <c r="D134" s="352" t="str">
        <f t="shared" si="2"/>
        <v>五股凌雲店2</v>
      </c>
      <c r="E134" s="351">
        <v>2</v>
      </c>
      <c r="F134" s="351" t="s">
        <v>4240</v>
      </c>
      <c r="G134" s="352" t="s">
        <v>4722</v>
      </c>
      <c r="H134" s="351" t="s">
        <v>4488</v>
      </c>
      <c r="I134" s="353" t="s">
        <v>4484</v>
      </c>
      <c r="J134" s="354" t="str">
        <f>VLOOKUP(B134,'[5]0919門市清單主檔'!B:V,21,FALSE)</f>
        <v>五股區</v>
      </c>
      <c r="K134" s="355" t="s">
        <v>4485</v>
      </c>
      <c r="L134" s="351" t="s">
        <v>1749</v>
      </c>
      <c r="M134" s="354"/>
    </row>
    <row r="135" spans="1:13" ht="22.95" customHeight="1">
      <c r="A135" s="351" t="s">
        <v>4723</v>
      </c>
      <c r="B135" s="351">
        <v>2390</v>
      </c>
      <c r="C135" s="352" t="s">
        <v>4105</v>
      </c>
      <c r="D135" s="352" t="str">
        <f t="shared" si="2"/>
        <v>五股產業園區2</v>
      </c>
      <c r="E135" s="351">
        <v>2</v>
      </c>
      <c r="F135" s="351" t="s">
        <v>4238</v>
      </c>
      <c r="G135" s="352" t="s">
        <v>4724</v>
      </c>
      <c r="H135" s="351" t="s">
        <v>4483</v>
      </c>
      <c r="I135" s="353" t="s">
        <v>4484</v>
      </c>
      <c r="J135" s="354" t="str">
        <f>VLOOKUP(B135,'[5]0919門市清單主檔'!B:V,21,FALSE)</f>
        <v>五股區</v>
      </c>
      <c r="K135" s="355" t="s">
        <v>4485</v>
      </c>
      <c r="L135" s="351" t="s">
        <v>1749</v>
      </c>
      <c r="M135" s="354"/>
    </row>
    <row r="136" spans="1:13" ht="22.95" customHeight="1">
      <c r="A136" s="351" t="s">
        <v>4725</v>
      </c>
      <c r="B136" s="351">
        <v>3921</v>
      </c>
      <c r="C136" s="352" t="s">
        <v>266</v>
      </c>
      <c r="D136" s="352" t="str">
        <f t="shared" si="2"/>
        <v>五股福鑫店1</v>
      </c>
      <c r="E136" s="351">
        <v>1</v>
      </c>
      <c r="F136" s="351" t="s">
        <v>4282</v>
      </c>
      <c r="G136" s="352" t="s">
        <v>4726</v>
      </c>
      <c r="H136" s="351" t="s">
        <v>4488</v>
      </c>
      <c r="I136" s="353" t="s">
        <v>4484</v>
      </c>
      <c r="J136" s="354" t="str">
        <f>VLOOKUP(B136,'[5]0919門市清單主檔'!B:V,21,FALSE)</f>
        <v>五股區</v>
      </c>
      <c r="K136" s="355" t="s">
        <v>4485</v>
      </c>
      <c r="L136" s="351" t="s">
        <v>1749</v>
      </c>
      <c r="M136" s="354"/>
    </row>
    <row r="137" spans="1:13" ht="22.95" customHeight="1">
      <c r="A137" s="351" t="s">
        <v>4727</v>
      </c>
      <c r="B137" s="351">
        <v>3921</v>
      </c>
      <c r="C137" s="352" t="s">
        <v>266</v>
      </c>
      <c r="D137" s="352" t="str">
        <f t="shared" si="2"/>
        <v>五股福鑫店2</v>
      </c>
      <c r="E137" s="351">
        <v>2</v>
      </c>
      <c r="F137" s="351" t="s">
        <v>4283</v>
      </c>
      <c r="G137" s="352" t="s">
        <v>4489</v>
      </c>
      <c r="H137" s="351" t="s">
        <v>4488</v>
      </c>
      <c r="I137" s="353" t="s">
        <v>4484</v>
      </c>
      <c r="J137" s="354" t="str">
        <f>VLOOKUP(B137,'[5]0919門市清單主檔'!B:V,21,FALSE)</f>
        <v>五股區</v>
      </c>
      <c r="K137" s="355" t="s">
        <v>4485</v>
      </c>
      <c r="L137" s="351" t="s">
        <v>1749</v>
      </c>
      <c r="M137" s="354"/>
    </row>
    <row r="138" spans="1:13" ht="22.95" customHeight="1">
      <c r="A138" s="351" t="s">
        <v>4728</v>
      </c>
      <c r="B138" s="351">
        <v>2691</v>
      </c>
      <c r="C138" s="352" t="s">
        <v>4117</v>
      </c>
      <c r="D138" s="352" t="str">
        <f t="shared" si="2"/>
        <v>五股興珍店1</v>
      </c>
      <c r="E138" s="351">
        <v>1</v>
      </c>
      <c r="F138" s="351" t="s">
        <v>4236</v>
      </c>
      <c r="G138" s="352" t="s">
        <v>4729</v>
      </c>
      <c r="H138" s="351" t="s">
        <v>4488</v>
      </c>
      <c r="I138" s="353" t="s">
        <v>4484</v>
      </c>
      <c r="J138" s="354" t="str">
        <f>VLOOKUP(B138,'[5]0919門市清單主檔'!B:V,21,FALSE)</f>
        <v>五股區</v>
      </c>
      <c r="K138" s="355" t="s">
        <v>4485</v>
      </c>
      <c r="L138" s="351" t="s">
        <v>1749</v>
      </c>
      <c r="M138" s="354"/>
    </row>
    <row r="139" spans="1:13" ht="22.95" customHeight="1">
      <c r="A139" s="351" t="s">
        <v>4730</v>
      </c>
      <c r="B139" s="351">
        <v>2691</v>
      </c>
      <c r="C139" s="352" t="s">
        <v>4117</v>
      </c>
      <c r="D139" s="352" t="str">
        <f t="shared" si="2"/>
        <v>五股興珍店2</v>
      </c>
      <c r="E139" s="351">
        <v>2</v>
      </c>
      <c r="F139" s="351" t="s">
        <v>4237</v>
      </c>
      <c r="G139" s="352" t="s">
        <v>4731</v>
      </c>
      <c r="H139" s="351" t="s">
        <v>4488</v>
      </c>
      <c r="I139" s="353" t="s">
        <v>4484</v>
      </c>
      <c r="J139" s="354" t="str">
        <f>VLOOKUP(B139,'[5]0919門市清單主檔'!B:V,21,FALSE)</f>
        <v>五股區</v>
      </c>
      <c r="K139" s="355" t="s">
        <v>4485</v>
      </c>
      <c r="L139" s="351" t="s">
        <v>1749</v>
      </c>
      <c r="M139" s="354"/>
    </row>
    <row r="140" spans="1:13" ht="22.95" customHeight="1">
      <c r="A140" s="351" t="s">
        <v>4740</v>
      </c>
      <c r="B140" s="351">
        <v>2325</v>
      </c>
      <c r="C140" s="352" t="s">
        <v>94</v>
      </c>
      <c r="D140" s="352" t="str">
        <f t="shared" si="2"/>
        <v>北縣五泰店1</v>
      </c>
      <c r="E140" s="351">
        <v>1</v>
      </c>
      <c r="F140" s="351" t="s">
        <v>4246</v>
      </c>
      <c r="G140" s="352" t="s">
        <v>4741</v>
      </c>
      <c r="H140" s="351" t="s">
        <v>4495</v>
      </c>
      <c r="I140" s="353" t="s">
        <v>4484</v>
      </c>
      <c r="J140" s="354" t="str">
        <f>VLOOKUP(B140,'[5]0919門市清單主檔'!B:V,21,FALSE)</f>
        <v>五股區</v>
      </c>
      <c r="K140" s="355" t="s">
        <v>4485</v>
      </c>
      <c r="L140" s="351" t="s">
        <v>1749</v>
      </c>
      <c r="M140" s="354"/>
    </row>
    <row r="141" spans="1:13" ht="22.95" customHeight="1">
      <c r="A141" s="351" t="s">
        <v>4742</v>
      </c>
      <c r="B141" s="351">
        <v>2325</v>
      </c>
      <c r="C141" s="352" t="s">
        <v>94</v>
      </c>
      <c r="D141" s="352" t="str">
        <f t="shared" si="2"/>
        <v>北縣五泰店2</v>
      </c>
      <c r="E141" s="351">
        <v>2</v>
      </c>
      <c r="F141" s="351" t="s">
        <v>4247</v>
      </c>
      <c r="G141" s="352" t="s">
        <v>4743</v>
      </c>
      <c r="H141" s="351" t="s">
        <v>4495</v>
      </c>
      <c r="I141" s="353" t="s">
        <v>4484</v>
      </c>
      <c r="J141" s="354" t="str">
        <f>VLOOKUP(B141,'[5]0919門市清單主檔'!B:V,21,FALSE)</f>
        <v>五股區</v>
      </c>
      <c r="K141" s="355" t="s">
        <v>4485</v>
      </c>
      <c r="L141" s="351" t="s">
        <v>1749</v>
      </c>
      <c r="M141" s="354"/>
    </row>
    <row r="142" spans="1:13" ht="22.95" customHeight="1">
      <c r="A142" s="351" t="s">
        <v>4756</v>
      </c>
      <c r="B142" s="351">
        <v>3770</v>
      </c>
      <c r="C142" s="352" t="s">
        <v>239</v>
      </c>
      <c r="D142" s="352" t="str">
        <f t="shared" si="2"/>
        <v>北縣西雲店2</v>
      </c>
      <c r="E142" s="351">
        <v>2</v>
      </c>
      <c r="F142" s="351" t="s">
        <v>4245</v>
      </c>
      <c r="G142" s="352" t="s">
        <v>4757</v>
      </c>
      <c r="H142" s="351" t="s">
        <v>4488</v>
      </c>
      <c r="I142" s="353" t="s">
        <v>4484</v>
      </c>
      <c r="J142" s="354" t="str">
        <f>VLOOKUP(B142,'[5]0919門市清單主檔'!B:V,21,FALSE)</f>
        <v>五股區</v>
      </c>
      <c r="K142" s="355" t="s">
        <v>4485</v>
      </c>
      <c r="L142" s="351" t="s">
        <v>1749</v>
      </c>
      <c r="M142" s="354"/>
    </row>
    <row r="143" spans="1:13" ht="22.95" customHeight="1">
      <c r="A143" s="351" t="s">
        <v>4852</v>
      </c>
      <c r="B143" s="351">
        <v>4845</v>
      </c>
      <c r="C143" s="352" t="s">
        <v>545</v>
      </c>
      <c r="D143" s="352" t="str">
        <f t="shared" si="2"/>
        <v>石門海角店1</v>
      </c>
      <c r="E143" s="351">
        <v>1</v>
      </c>
      <c r="F143" s="351" t="s">
        <v>4265</v>
      </c>
      <c r="G143" s="352" t="s">
        <v>4853</v>
      </c>
      <c r="H143" s="351" t="s">
        <v>4488</v>
      </c>
      <c r="I143" s="353" t="s">
        <v>4484</v>
      </c>
      <c r="J143" s="354" t="str">
        <f>VLOOKUP(B143,'[5]0919門市清單主檔'!B:V,21,FALSE)</f>
        <v>石門區</v>
      </c>
      <c r="K143" s="355" t="s">
        <v>4485</v>
      </c>
      <c r="L143" s="351" t="s">
        <v>1749</v>
      </c>
      <c r="M143" s="354"/>
    </row>
    <row r="144" spans="1:13" ht="22.95" customHeight="1">
      <c r="A144" s="351" t="s">
        <v>4854</v>
      </c>
      <c r="B144" s="351">
        <v>4845</v>
      </c>
      <c r="C144" s="352" t="s">
        <v>545</v>
      </c>
      <c r="D144" s="352" t="str">
        <f t="shared" si="2"/>
        <v>石門海角店2</v>
      </c>
      <c r="E144" s="351">
        <v>2</v>
      </c>
      <c r="F144" s="351" t="s">
        <v>4266</v>
      </c>
      <c r="G144" s="352" t="s">
        <v>4855</v>
      </c>
      <c r="H144" s="351" t="s">
        <v>4488</v>
      </c>
      <c r="I144" s="353" t="s">
        <v>4484</v>
      </c>
      <c r="J144" s="354" t="str">
        <f>VLOOKUP(B144,'[5]0919門市清單主檔'!B:V,21,FALSE)</f>
        <v>石門區</v>
      </c>
      <c r="K144" s="355" t="s">
        <v>4485</v>
      </c>
      <c r="L144" s="351" t="s">
        <v>1749</v>
      </c>
      <c r="M144" s="354"/>
    </row>
    <row r="145" spans="1:13" ht="22.95" customHeight="1">
      <c r="A145" s="351" t="s">
        <v>4503</v>
      </c>
      <c r="B145" s="351">
        <v>3752</v>
      </c>
      <c r="C145" s="352" t="s">
        <v>4054</v>
      </c>
      <c r="D145" s="352" t="str">
        <f t="shared" si="2"/>
        <v>板橋豫章店1</v>
      </c>
      <c r="E145" s="351">
        <v>1</v>
      </c>
      <c r="F145" s="351" t="s">
        <v>4413</v>
      </c>
      <c r="G145" s="352" t="s">
        <v>4504</v>
      </c>
      <c r="H145" s="351" t="s">
        <v>4495</v>
      </c>
      <c r="I145" s="353" t="s">
        <v>4484</v>
      </c>
      <c r="J145" s="354" t="str">
        <f>VLOOKUP(B145,'[5]0919門市清單主檔'!B:V,21,FALSE)</f>
        <v>板橋區</v>
      </c>
      <c r="K145" s="355" t="s">
        <v>4485</v>
      </c>
      <c r="L145" s="351" t="s">
        <v>4046</v>
      </c>
      <c r="M145" s="354"/>
    </row>
    <row r="146" spans="1:13" ht="22.95" customHeight="1">
      <c r="A146" s="351" t="s">
        <v>4505</v>
      </c>
      <c r="B146" s="351">
        <v>3752</v>
      </c>
      <c r="C146" s="352" t="s">
        <v>4054</v>
      </c>
      <c r="D146" s="352" t="str">
        <f t="shared" si="2"/>
        <v>板橋豫章店2</v>
      </c>
      <c r="E146" s="351">
        <v>2</v>
      </c>
      <c r="F146" s="351" t="s">
        <v>4414</v>
      </c>
      <c r="G146" s="352" t="s">
        <v>4506</v>
      </c>
      <c r="H146" s="351" t="s">
        <v>4495</v>
      </c>
      <c r="I146" s="353" t="s">
        <v>4484</v>
      </c>
      <c r="J146" s="354" t="str">
        <f>VLOOKUP(B146,'[5]0919門市清單主檔'!B:V,21,FALSE)</f>
        <v>板橋區</v>
      </c>
      <c r="K146" s="355" t="s">
        <v>4485</v>
      </c>
      <c r="L146" s="351" t="s">
        <v>4046</v>
      </c>
      <c r="M146" s="354"/>
    </row>
    <row r="147" spans="1:13" ht="22.95" customHeight="1">
      <c r="A147" s="351" t="s">
        <v>4758</v>
      </c>
      <c r="B147" s="351" t="s">
        <v>30</v>
      </c>
      <c r="C147" s="352" t="s">
        <v>641</v>
      </c>
      <c r="D147" s="352" t="str">
        <f t="shared" si="2"/>
        <v>北縣府中店1</v>
      </c>
      <c r="E147" s="351">
        <v>1</v>
      </c>
      <c r="F147" s="351" t="s">
        <v>4419</v>
      </c>
      <c r="G147" s="352" t="s">
        <v>4759</v>
      </c>
      <c r="H147" s="351" t="s">
        <v>4488</v>
      </c>
      <c r="I147" s="353" t="s">
        <v>4484</v>
      </c>
      <c r="J147" s="354" t="str">
        <f>VLOOKUP(B147,'[5]0919門市清單主檔'!B:V,21,FALSE)</f>
        <v>板橋區</v>
      </c>
      <c r="K147" s="355" t="s">
        <v>4485</v>
      </c>
      <c r="L147" s="351" t="s">
        <v>1749</v>
      </c>
      <c r="M147" s="354"/>
    </row>
    <row r="148" spans="1:13" ht="22.95" customHeight="1">
      <c r="A148" s="351" t="s">
        <v>4760</v>
      </c>
      <c r="B148" s="351" t="s">
        <v>30</v>
      </c>
      <c r="C148" s="352" t="s">
        <v>641</v>
      </c>
      <c r="D148" s="352" t="str">
        <f t="shared" si="2"/>
        <v>北縣府中店2</v>
      </c>
      <c r="E148" s="351">
        <v>2</v>
      </c>
      <c r="F148" s="351" t="s">
        <v>4420</v>
      </c>
      <c r="G148" s="352" t="s">
        <v>4761</v>
      </c>
      <c r="H148" s="351" t="s">
        <v>4488</v>
      </c>
      <c r="I148" s="353" t="s">
        <v>4484</v>
      </c>
      <c r="J148" s="354" t="str">
        <f>VLOOKUP(B148,'[5]0919門市清單主檔'!B:V,21,FALSE)</f>
        <v>板橋區</v>
      </c>
      <c r="K148" s="355" t="s">
        <v>4485</v>
      </c>
      <c r="L148" s="351" t="s">
        <v>1749</v>
      </c>
      <c r="M148" s="354"/>
    </row>
    <row r="149" spans="1:13" ht="22.95" customHeight="1">
      <c r="A149" s="351" t="s">
        <v>4762</v>
      </c>
      <c r="B149" s="351">
        <v>3183</v>
      </c>
      <c r="C149" s="352" t="s">
        <v>168</v>
      </c>
      <c r="D149" s="352" t="str">
        <f t="shared" si="2"/>
        <v>北縣板好店1</v>
      </c>
      <c r="E149" s="351">
        <v>1</v>
      </c>
      <c r="F149" s="351" t="s">
        <v>4296</v>
      </c>
      <c r="G149" s="352" t="s">
        <v>4763</v>
      </c>
      <c r="H149" s="351" t="s">
        <v>4488</v>
      </c>
      <c r="I149" s="353" t="s">
        <v>4484</v>
      </c>
      <c r="J149" s="354" t="str">
        <f>VLOOKUP(B149,'[5]0919門市清單主檔'!B:V,21,FALSE)</f>
        <v>板橋區</v>
      </c>
      <c r="K149" s="355" t="s">
        <v>4485</v>
      </c>
      <c r="L149" s="351" t="s">
        <v>1749</v>
      </c>
      <c r="M149" s="354"/>
    </row>
    <row r="150" spans="1:13" ht="22.95" customHeight="1">
      <c r="A150" s="351" t="s">
        <v>4764</v>
      </c>
      <c r="B150" s="351">
        <v>3183</v>
      </c>
      <c r="C150" s="352" t="s">
        <v>168</v>
      </c>
      <c r="D150" s="352" t="str">
        <f t="shared" si="2"/>
        <v>北縣板好店2</v>
      </c>
      <c r="E150" s="351">
        <v>2</v>
      </c>
      <c r="F150" s="351" t="s">
        <v>4297</v>
      </c>
      <c r="G150" s="352" t="s">
        <v>4765</v>
      </c>
      <c r="H150" s="351" t="s">
        <v>4483</v>
      </c>
      <c r="I150" s="353" t="s">
        <v>4500</v>
      </c>
      <c r="J150" s="354" t="str">
        <f>VLOOKUP(B150,'[5]0919門市清單主檔'!B:V,21,FALSE)</f>
        <v>板橋區</v>
      </c>
      <c r="K150" s="355" t="s">
        <v>4485</v>
      </c>
      <c r="L150" s="351" t="s">
        <v>1749</v>
      </c>
      <c r="M150" s="354"/>
    </row>
    <row r="151" spans="1:13" ht="22.95" customHeight="1">
      <c r="A151" s="351" t="s">
        <v>4766</v>
      </c>
      <c r="B151" s="351">
        <v>3147</v>
      </c>
      <c r="C151" s="352" t="s">
        <v>166</v>
      </c>
      <c r="D151" s="352" t="str">
        <f t="shared" si="2"/>
        <v>北縣板明店2</v>
      </c>
      <c r="E151" s="351">
        <v>2</v>
      </c>
      <c r="F151" s="351" t="s">
        <v>4275</v>
      </c>
      <c r="G151" s="352" t="s">
        <v>4767</v>
      </c>
      <c r="H151" s="351" t="s">
        <v>4488</v>
      </c>
      <c r="I151" s="353" t="s">
        <v>4484</v>
      </c>
      <c r="J151" s="354" t="str">
        <f>VLOOKUP(B151,'[5]0919門市清單主檔'!B:V,21,FALSE)</f>
        <v>板橋區</v>
      </c>
      <c r="K151" s="355" t="s">
        <v>4485</v>
      </c>
      <c r="L151" s="351" t="s">
        <v>1749</v>
      </c>
      <c r="M151" s="354"/>
    </row>
    <row r="152" spans="1:13" ht="22.95" customHeight="1">
      <c r="A152" s="351" t="s">
        <v>4768</v>
      </c>
      <c r="B152" s="351">
        <v>2746</v>
      </c>
      <c r="C152" s="352" t="s">
        <v>131</v>
      </c>
      <c r="D152" s="352" t="str">
        <f t="shared" si="2"/>
        <v>北縣板嘉店1</v>
      </c>
      <c r="E152" s="351">
        <v>1</v>
      </c>
      <c r="F152" s="351" t="s">
        <v>4395</v>
      </c>
      <c r="G152" s="352" t="s">
        <v>4769</v>
      </c>
      <c r="H152" s="351" t="s">
        <v>4495</v>
      </c>
      <c r="I152" s="353" t="s">
        <v>4484</v>
      </c>
      <c r="J152" s="354" t="str">
        <f>VLOOKUP(B152,'[5]0919門市清單主檔'!B:V,21,FALSE)</f>
        <v>板橋區</v>
      </c>
      <c r="K152" s="355" t="s">
        <v>4485</v>
      </c>
      <c r="L152" s="351" t="s">
        <v>1749</v>
      </c>
      <c r="M152" s="354"/>
    </row>
    <row r="153" spans="1:13" ht="22.95" customHeight="1">
      <c r="A153" s="351" t="s">
        <v>4770</v>
      </c>
      <c r="B153" s="351">
        <v>2746</v>
      </c>
      <c r="C153" s="352" t="s">
        <v>131</v>
      </c>
      <c r="D153" s="352" t="str">
        <f t="shared" si="2"/>
        <v>北縣板嘉店2</v>
      </c>
      <c r="E153" s="351">
        <v>2</v>
      </c>
      <c r="F153" s="351" t="s">
        <v>4396</v>
      </c>
      <c r="G153" s="352" t="s">
        <v>4771</v>
      </c>
      <c r="H153" s="351" t="s">
        <v>4483</v>
      </c>
      <c r="I153" s="353" t="s">
        <v>4484</v>
      </c>
      <c r="J153" s="354" t="str">
        <f>VLOOKUP(B153,'[5]0919門市清單主檔'!B:V,21,FALSE)</f>
        <v>板橋區</v>
      </c>
      <c r="K153" s="355" t="s">
        <v>4485</v>
      </c>
      <c r="L153" s="351" t="s">
        <v>1749</v>
      </c>
      <c r="M153" s="354"/>
    </row>
    <row r="154" spans="1:13" ht="22.95" customHeight="1">
      <c r="A154" s="351" t="s">
        <v>4772</v>
      </c>
      <c r="B154" s="351">
        <v>2422</v>
      </c>
      <c r="C154" s="352" t="s">
        <v>103</v>
      </c>
      <c r="D154" s="352" t="str">
        <f t="shared" si="2"/>
        <v>北縣板億店1</v>
      </c>
      <c r="E154" s="351">
        <v>1</v>
      </c>
      <c r="F154" s="351" t="s">
        <v>4411</v>
      </c>
      <c r="G154" s="352" t="s">
        <v>4773</v>
      </c>
      <c r="H154" s="351" t="s">
        <v>4495</v>
      </c>
      <c r="I154" s="353" t="s">
        <v>4484</v>
      </c>
      <c r="J154" s="354" t="str">
        <f>VLOOKUP(B154,'[5]0919門市清單主檔'!B:V,21,FALSE)</f>
        <v>板橋區</v>
      </c>
      <c r="K154" s="355" t="s">
        <v>4485</v>
      </c>
      <c r="L154" s="351" t="s">
        <v>1749</v>
      </c>
      <c r="M154" s="354"/>
    </row>
    <row r="155" spans="1:13" ht="22.95" customHeight="1">
      <c r="A155" s="351" t="s">
        <v>4774</v>
      </c>
      <c r="B155" s="351">
        <v>2422</v>
      </c>
      <c r="C155" s="352" t="s">
        <v>103</v>
      </c>
      <c r="D155" s="352" t="str">
        <f t="shared" si="2"/>
        <v>北縣板億店2</v>
      </c>
      <c r="E155" s="351">
        <v>2</v>
      </c>
      <c r="F155" s="351" t="s">
        <v>4412</v>
      </c>
      <c r="G155" s="352" t="s">
        <v>4775</v>
      </c>
      <c r="H155" s="351" t="s">
        <v>4495</v>
      </c>
      <c r="I155" s="353" t="s">
        <v>4484</v>
      </c>
      <c r="J155" s="354" t="str">
        <f>VLOOKUP(B155,'[5]0919門市清單主檔'!B:V,21,FALSE)</f>
        <v>板橋區</v>
      </c>
      <c r="K155" s="355" t="s">
        <v>4485</v>
      </c>
      <c r="L155" s="351" t="s">
        <v>1749</v>
      </c>
      <c r="M155" s="354"/>
    </row>
    <row r="156" spans="1:13" ht="22.95" customHeight="1">
      <c r="A156" s="351" t="s">
        <v>4776</v>
      </c>
      <c r="B156" s="351">
        <v>2403</v>
      </c>
      <c r="C156" s="352" t="s">
        <v>101</v>
      </c>
      <c r="D156" s="352" t="str">
        <f t="shared" si="2"/>
        <v>北縣板龍店1</v>
      </c>
      <c r="E156" s="351">
        <v>1</v>
      </c>
      <c r="F156" s="351" t="s">
        <v>4391</v>
      </c>
      <c r="G156" s="352" t="s">
        <v>4777</v>
      </c>
      <c r="H156" s="351" t="s">
        <v>4483</v>
      </c>
      <c r="I156" s="353" t="s">
        <v>4484</v>
      </c>
      <c r="J156" s="354" t="str">
        <f>VLOOKUP(B156,'[5]0919門市清單主檔'!B:V,21,FALSE)</f>
        <v>板橋區</v>
      </c>
      <c r="K156" s="355" t="s">
        <v>4485</v>
      </c>
      <c r="L156" s="351" t="s">
        <v>1749</v>
      </c>
      <c r="M156" s="354"/>
    </row>
    <row r="157" spans="1:13" ht="22.95" customHeight="1">
      <c r="A157" s="351" t="s">
        <v>4778</v>
      </c>
      <c r="B157" s="351">
        <v>2403</v>
      </c>
      <c r="C157" s="352" t="s">
        <v>101</v>
      </c>
      <c r="D157" s="352" t="str">
        <f t="shared" si="2"/>
        <v>北縣板龍店2</v>
      </c>
      <c r="E157" s="351">
        <v>2</v>
      </c>
      <c r="F157" s="351" t="s">
        <v>4392</v>
      </c>
      <c r="G157" s="352" t="s">
        <v>4779</v>
      </c>
      <c r="H157" s="351" t="s">
        <v>4483</v>
      </c>
      <c r="I157" s="353" t="s">
        <v>4500</v>
      </c>
      <c r="J157" s="354" t="str">
        <f>VLOOKUP(B157,'[5]0919門市清單主檔'!B:V,21,FALSE)</f>
        <v>板橋區</v>
      </c>
      <c r="K157" s="355" t="s">
        <v>4485</v>
      </c>
      <c r="L157" s="351" t="s">
        <v>1749</v>
      </c>
      <c r="M157" s="354"/>
    </row>
    <row r="158" spans="1:13" ht="22.95" customHeight="1">
      <c r="A158" s="351" t="s">
        <v>4780</v>
      </c>
      <c r="B158" s="351">
        <v>3551</v>
      </c>
      <c r="C158" s="352" t="s">
        <v>201</v>
      </c>
      <c r="D158" s="352" t="str">
        <f t="shared" si="2"/>
        <v>北縣板豐店1</v>
      </c>
      <c r="E158" s="351">
        <v>1</v>
      </c>
      <c r="F158" s="351" t="s">
        <v>4393</v>
      </c>
      <c r="G158" s="352" t="s">
        <v>4781</v>
      </c>
      <c r="H158" s="351" t="s">
        <v>4488</v>
      </c>
      <c r="I158" s="353" t="s">
        <v>4484</v>
      </c>
      <c r="J158" s="354" t="str">
        <f>VLOOKUP(B158,'[5]0919門市清單主檔'!B:V,21,FALSE)</f>
        <v>板橋區</v>
      </c>
      <c r="K158" s="355" t="s">
        <v>4485</v>
      </c>
      <c r="L158" s="351" t="s">
        <v>1749</v>
      </c>
      <c r="M158" s="354"/>
    </row>
    <row r="159" spans="1:13" ht="22.95" customHeight="1">
      <c r="A159" s="351" t="s">
        <v>4782</v>
      </c>
      <c r="B159" s="351">
        <v>3551</v>
      </c>
      <c r="C159" s="352" t="s">
        <v>201</v>
      </c>
      <c r="D159" s="352" t="str">
        <f t="shared" si="2"/>
        <v>北縣板豐店2</v>
      </c>
      <c r="E159" s="351">
        <v>2</v>
      </c>
      <c r="F159" s="351" t="s">
        <v>4394</v>
      </c>
      <c r="G159" s="352" t="s">
        <v>4783</v>
      </c>
      <c r="H159" s="351" t="s">
        <v>4488</v>
      </c>
      <c r="I159" s="353" t="s">
        <v>4500</v>
      </c>
      <c r="J159" s="354" t="str">
        <f>VLOOKUP(B159,'[5]0919門市清單主檔'!B:V,21,FALSE)</f>
        <v>板橋區</v>
      </c>
      <c r="K159" s="355" t="s">
        <v>4485</v>
      </c>
      <c r="L159" s="351" t="s">
        <v>1749</v>
      </c>
      <c r="M159" s="354"/>
    </row>
    <row r="160" spans="1:13" ht="22.95" customHeight="1">
      <c r="A160" s="351" t="s">
        <v>4835</v>
      </c>
      <c r="B160" s="351" t="s">
        <v>31</v>
      </c>
      <c r="C160" s="352" t="s">
        <v>643</v>
      </c>
      <c r="D160" s="352" t="str">
        <f t="shared" si="2"/>
        <v>北縣僑中三店1</v>
      </c>
      <c r="E160" s="351">
        <v>1</v>
      </c>
      <c r="F160" s="351" t="s">
        <v>4389</v>
      </c>
      <c r="G160" s="352" t="s">
        <v>4836</v>
      </c>
      <c r="H160" s="351" t="s">
        <v>4495</v>
      </c>
      <c r="I160" s="353" t="s">
        <v>4484</v>
      </c>
      <c r="J160" s="354" t="str">
        <f>VLOOKUP(B160,'[5]0919門市清單主檔'!B:V,21,FALSE)</f>
        <v>板橋區</v>
      </c>
      <c r="K160" s="355" t="s">
        <v>4485</v>
      </c>
      <c r="L160" s="351" t="s">
        <v>1749</v>
      </c>
      <c r="M160" s="354"/>
    </row>
    <row r="161" spans="1:13" ht="22.95" customHeight="1">
      <c r="A161" s="351" t="s">
        <v>4837</v>
      </c>
      <c r="B161" s="351" t="s">
        <v>31</v>
      </c>
      <c r="C161" s="352" t="s">
        <v>643</v>
      </c>
      <c r="D161" s="352" t="str">
        <f t="shared" si="2"/>
        <v>北縣僑中三店2</v>
      </c>
      <c r="E161" s="351">
        <v>2</v>
      </c>
      <c r="F161" s="351" t="s">
        <v>4390</v>
      </c>
      <c r="G161" s="352" t="s">
        <v>4489</v>
      </c>
      <c r="H161" s="351" t="s">
        <v>4495</v>
      </c>
      <c r="I161" s="353" t="s">
        <v>4484</v>
      </c>
      <c r="J161" s="354" t="str">
        <f>VLOOKUP(B161,'[5]0919門市清單主檔'!B:V,21,FALSE)</f>
        <v>板橋區</v>
      </c>
      <c r="K161" s="355" t="s">
        <v>4485</v>
      </c>
      <c r="L161" s="351" t="s">
        <v>1749</v>
      </c>
      <c r="M161" s="354"/>
    </row>
    <row r="162" spans="1:13" ht="22.95" customHeight="1">
      <c r="A162" s="351" t="s">
        <v>4838</v>
      </c>
      <c r="B162" s="351" t="s">
        <v>29</v>
      </c>
      <c r="C162" s="352" t="s">
        <v>640</v>
      </c>
      <c r="D162" s="352" t="str">
        <f t="shared" si="2"/>
        <v>北縣僑福店1</v>
      </c>
      <c r="E162" s="351">
        <v>1</v>
      </c>
      <c r="F162" s="351" t="s">
        <v>4388</v>
      </c>
      <c r="G162" s="352" t="s">
        <v>4839</v>
      </c>
      <c r="H162" s="351" t="s">
        <v>4495</v>
      </c>
      <c r="I162" s="353" t="s">
        <v>4484</v>
      </c>
      <c r="J162" s="354" t="str">
        <f>VLOOKUP(B162,'[5]0919門市清單主檔'!B:V,21,FALSE)</f>
        <v>板橋區</v>
      </c>
      <c r="K162" s="355" t="s">
        <v>4485</v>
      </c>
      <c r="L162" s="351" t="s">
        <v>1749</v>
      </c>
      <c r="M162" s="354" t="s">
        <v>5132</v>
      </c>
    </row>
    <row r="163" spans="1:13" ht="22.95" customHeight="1">
      <c r="A163" s="351" t="s">
        <v>4856</v>
      </c>
      <c r="B163" s="351" t="s">
        <v>33</v>
      </c>
      <c r="C163" s="352" t="s">
        <v>652</v>
      </c>
      <c r="D163" s="352" t="str">
        <f t="shared" si="2"/>
        <v>板橋大興店1</v>
      </c>
      <c r="E163" s="351">
        <v>1</v>
      </c>
      <c r="F163" s="351" t="s">
        <v>4409</v>
      </c>
      <c r="G163" s="352" t="s">
        <v>4857</v>
      </c>
      <c r="H163" s="351" t="s">
        <v>4488</v>
      </c>
      <c r="I163" s="353" t="s">
        <v>4500</v>
      </c>
      <c r="J163" s="354" t="str">
        <f>VLOOKUP(B163,'[5]0919門市清單主檔'!B:V,21,FALSE)</f>
        <v>板橋區</v>
      </c>
      <c r="K163" s="355" t="s">
        <v>4485</v>
      </c>
      <c r="L163" s="351" t="s">
        <v>1749</v>
      </c>
      <c r="M163" s="354"/>
    </row>
    <row r="164" spans="1:13" ht="22.95" customHeight="1">
      <c r="A164" s="351" t="s">
        <v>4858</v>
      </c>
      <c r="B164" s="351" t="s">
        <v>33</v>
      </c>
      <c r="C164" s="352" t="s">
        <v>652</v>
      </c>
      <c r="D164" s="352" t="str">
        <f t="shared" si="2"/>
        <v>板橋大興店2</v>
      </c>
      <c r="E164" s="351">
        <v>2</v>
      </c>
      <c r="F164" s="351" t="s">
        <v>4410</v>
      </c>
      <c r="G164" s="352" t="s">
        <v>4859</v>
      </c>
      <c r="H164" s="351" t="s">
        <v>4488</v>
      </c>
      <c r="I164" s="353" t="s">
        <v>4490</v>
      </c>
      <c r="J164" s="354" t="str">
        <f>VLOOKUP(B164,'[5]0919門市清單主檔'!B:V,21,FALSE)</f>
        <v>板橋區</v>
      </c>
      <c r="K164" s="355" t="s">
        <v>4485</v>
      </c>
      <c r="L164" s="351" t="s">
        <v>1749</v>
      </c>
      <c r="M164" s="354"/>
    </row>
    <row r="165" spans="1:13" ht="22.95" customHeight="1">
      <c r="A165" s="351" t="s">
        <v>4860</v>
      </c>
      <c r="B165" s="351">
        <v>3962</v>
      </c>
      <c r="C165" s="352" t="s">
        <v>276</v>
      </c>
      <c r="D165" s="352" t="str">
        <f t="shared" si="2"/>
        <v>板橋仁化店1</v>
      </c>
      <c r="E165" s="351">
        <v>1</v>
      </c>
      <c r="F165" s="351" t="s">
        <v>4382</v>
      </c>
      <c r="G165" s="352" t="s">
        <v>4861</v>
      </c>
      <c r="H165" s="351" t="s">
        <v>4495</v>
      </c>
      <c r="I165" s="353" t="s">
        <v>4484</v>
      </c>
      <c r="J165" s="354" t="str">
        <f>VLOOKUP(B165,'[5]0919門市清單主檔'!B:V,21,FALSE)</f>
        <v>板橋區</v>
      </c>
      <c r="K165" s="355" t="s">
        <v>4485</v>
      </c>
      <c r="L165" s="351" t="s">
        <v>1749</v>
      </c>
      <c r="M165" s="354"/>
    </row>
    <row r="166" spans="1:13" ht="22.95" customHeight="1">
      <c r="A166" s="351" t="s">
        <v>4862</v>
      </c>
      <c r="B166" s="351">
        <v>3962</v>
      </c>
      <c r="C166" s="352" t="s">
        <v>276</v>
      </c>
      <c r="D166" s="352" t="str">
        <f t="shared" si="2"/>
        <v>板橋仁化店2</v>
      </c>
      <c r="E166" s="351">
        <v>2</v>
      </c>
      <c r="F166" s="351" t="s">
        <v>4383</v>
      </c>
      <c r="G166" s="352" t="s">
        <v>4863</v>
      </c>
      <c r="H166" s="351" t="s">
        <v>4495</v>
      </c>
      <c r="I166" s="353" t="s">
        <v>4484</v>
      </c>
      <c r="J166" s="354" t="str">
        <f>VLOOKUP(B166,'[5]0919門市清單主檔'!B:V,21,FALSE)</f>
        <v>板橋區</v>
      </c>
      <c r="K166" s="355" t="s">
        <v>4485</v>
      </c>
      <c r="L166" s="351" t="s">
        <v>1749</v>
      </c>
      <c r="M166" s="354"/>
    </row>
    <row r="167" spans="1:13" ht="22.95" customHeight="1">
      <c r="A167" s="351" t="s">
        <v>4864</v>
      </c>
      <c r="B167" s="351">
        <v>3965</v>
      </c>
      <c r="C167" s="352" t="s">
        <v>279</v>
      </c>
      <c r="D167" s="352" t="str">
        <f t="shared" si="2"/>
        <v>板橋民治店1</v>
      </c>
      <c r="E167" s="351">
        <v>1</v>
      </c>
      <c r="F167" s="351" t="s">
        <v>4384</v>
      </c>
      <c r="G167" s="352" t="s">
        <v>4865</v>
      </c>
      <c r="H167" s="351" t="s">
        <v>4488</v>
      </c>
      <c r="I167" s="353" t="s">
        <v>4484</v>
      </c>
      <c r="J167" s="354" t="str">
        <f>VLOOKUP(B167,'[5]0919門市清單主檔'!B:V,21,FALSE)</f>
        <v>板橋區</v>
      </c>
      <c r="K167" s="355" t="s">
        <v>4485</v>
      </c>
      <c r="L167" s="351" t="s">
        <v>1749</v>
      </c>
      <c r="M167" s="354"/>
    </row>
    <row r="168" spans="1:13" ht="22.95" customHeight="1">
      <c r="A168" s="351" t="s">
        <v>4866</v>
      </c>
      <c r="B168" s="351">
        <v>3965</v>
      </c>
      <c r="C168" s="352" t="s">
        <v>279</v>
      </c>
      <c r="D168" s="352" t="str">
        <f t="shared" si="2"/>
        <v>板橋民治店2</v>
      </c>
      <c r="E168" s="351">
        <v>2</v>
      </c>
      <c r="F168" s="351" t="s">
        <v>4385</v>
      </c>
      <c r="G168" s="352" t="s">
        <v>4867</v>
      </c>
      <c r="H168" s="351" t="s">
        <v>4488</v>
      </c>
      <c r="I168" s="353" t="s">
        <v>4484</v>
      </c>
      <c r="J168" s="354" t="str">
        <f>VLOOKUP(B168,'[5]0919門市清單主檔'!B:V,21,FALSE)</f>
        <v>板橋區</v>
      </c>
      <c r="K168" s="355" t="s">
        <v>4485</v>
      </c>
      <c r="L168" s="351" t="s">
        <v>1749</v>
      </c>
      <c r="M168" s="354"/>
    </row>
    <row r="169" spans="1:13" ht="22.95" customHeight="1">
      <c r="A169" s="351" t="s">
        <v>4868</v>
      </c>
      <c r="B169" s="351">
        <v>4167</v>
      </c>
      <c r="C169" s="352" t="s">
        <v>323</v>
      </c>
      <c r="D169" s="352" t="str">
        <f t="shared" si="2"/>
        <v>板橋松翠店1</v>
      </c>
      <c r="E169" s="351">
        <v>1</v>
      </c>
      <c r="F169" s="351" t="s">
        <v>4298</v>
      </c>
      <c r="G169" s="352" t="s">
        <v>4869</v>
      </c>
      <c r="H169" s="351" t="s">
        <v>4495</v>
      </c>
      <c r="I169" s="353" t="s">
        <v>4484</v>
      </c>
      <c r="J169" s="354" t="str">
        <f>VLOOKUP(B169,'[5]0919門市清單主檔'!B:V,21,FALSE)</f>
        <v>板橋區</v>
      </c>
      <c r="K169" s="355" t="s">
        <v>4485</v>
      </c>
      <c r="L169" s="351" t="s">
        <v>1749</v>
      </c>
      <c r="M169" s="354"/>
    </row>
    <row r="170" spans="1:13" ht="22.95" customHeight="1">
      <c r="A170" s="351" t="s">
        <v>4870</v>
      </c>
      <c r="B170" s="351">
        <v>4167</v>
      </c>
      <c r="C170" s="352" t="s">
        <v>323</v>
      </c>
      <c r="D170" s="352" t="str">
        <f t="shared" si="2"/>
        <v>板橋松翠店2</v>
      </c>
      <c r="E170" s="351">
        <v>2</v>
      </c>
      <c r="F170" s="351" t="s">
        <v>4299</v>
      </c>
      <c r="G170" s="352" t="s">
        <v>4871</v>
      </c>
      <c r="H170" s="351" t="s">
        <v>4495</v>
      </c>
      <c r="I170" s="353" t="s">
        <v>4484</v>
      </c>
      <c r="J170" s="354" t="str">
        <f>VLOOKUP(B170,'[5]0919門市清單主檔'!B:V,21,FALSE)</f>
        <v>板橋區</v>
      </c>
      <c r="K170" s="355" t="s">
        <v>4485</v>
      </c>
      <c r="L170" s="351" t="s">
        <v>1749</v>
      </c>
      <c r="M170" s="354"/>
    </row>
    <row r="171" spans="1:13" ht="22.95" customHeight="1">
      <c r="A171" s="351" t="s">
        <v>4872</v>
      </c>
      <c r="B171" s="351">
        <v>3955</v>
      </c>
      <c r="C171" s="352" t="s">
        <v>272</v>
      </c>
      <c r="D171" s="352" t="str">
        <f t="shared" si="2"/>
        <v>板橋海龍店1</v>
      </c>
      <c r="E171" s="351">
        <v>1</v>
      </c>
      <c r="F171" s="351" t="s">
        <v>4386</v>
      </c>
      <c r="G171" s="352" t="s">
        <v>4873</v>
      </c>
      <c r="H171" s="351" t="s">
        <v>4483</v>
      </c>
      <c r="I171" s="353" t="s">
        <v>4500</v>
      </c>
      <c r="J171" s="354" t="str">
        <f>VLOOKUP(B171,'[5]0919門市清單主檔'!B:V,21,FALSE)</f>
        <v>板橋區</v>
      </c>
      <c r="K171" s="355" t="s">
        <v>4485</v>
      </c>
      <c r="L171" s="351" t="s">
        <v>1749</v>
      </c>
      <c r="M171" s="354"/>
    </row>
    <row r="172" spans="1:13" ht="22.95" customHeight="1">
      <c r="A172" s="351" t="s">
        <v>4874</v>
      </c>
      <c r="B172" s="351">
        <v>3955</v>
      </c>
      <c r="C172" s="352" t="s">
        <v>272</v>
      </c>
      <c r="D172" s="352" t="str">
        <f t="shared" si="2"/>
        <v>板橋海龍店2</v>
      </c>
      <c r="E172" s="351">
        <v>2</v>
      </c>
      <c r="F172" s="351" t="s">
        <v>4387</v>
      </c>
      <c r="G172" s="352" t="s">
        <v>4875</v>
      </c>
      <c r="H172" s="351" t="s">
        <v>4495</v>
      </c>
      <c r="I172" s="353" t="s">
        <v>4484</v>
      </c>
      <c r="J172" s="354" t="str">
        <f>VLOOKUP(B172,'[5]0919門市清單主檔'!B:V,21,FALSE)</f>
        <v>板橋區</v>
      </c>
      <c r="K172" s="355" t="s">
        <v>4485</v>
      </c>
      <c r="L172" s="351" t="s">
        <v>1749</v>
      </c>
      <c r="M172" s="354"/>
    </row>
    <row r="173" spans="1:13" ht="22.95" customHeight="1">
      <c r="A173" s="351" t="s">
        <v>4876</v>
      </c>
      <c r="B173" s="351">
        <v>3416</v>
      </c>
      <c r="C173" s="352" t="s">
        <v>4050</v>
      </c>
      <c r="D173" s="352" t="str">
        <f t="shared" si="2"/>
        <v>板橋國慶店1</v>
      </c>
      <c r="E173" s="351">
        <v>1</v>
      </c>
      <c r="F173" s="351" t="s">
        <v>4417</v>
      </c>
      <c r="G173" s="352" t="s">
        <v>4877</v>
      </c>
      <c r="H173" s="351" t="s">
        <v>4488</v>
      </c>
      <c r="I173" s="353" t="s">
        <v>4484</v>
      </c>
      <c r="J173" s="354" t="str">
        <f>VLOOKUP(B173,'[5]0919門市清單主檔'!B:V,21,FALSE)</f>
        <v>板橋區</v>
      </c>
      <c r="K173" s="355" t="s">
        <v>4485</v>
      </c>
      <c r="L173" s="351" t="s">
        <v>1749</v>
      </c>
      <c r="M173" s="354"/>
    </row>
    <row r="174" spans="1:13" ht="22.95" customHeight="1">
      <c r="A174" s="351" t="s">
        <v>4878</v>
      </c>
      <c r="B174" s="351">
        <v>3416</v>
      </c>
      <c r="C174" s="352" t="s">
        <v>4050</v>
      </c>
      <c r="D174" s="352" t="str">
        <f t="shared" si="2"/>
        <v>板橋國慶店2</v>
      </c>
      <c r="E174" s="351">
        <v>2</v>
      </c>
      <c r="F174" s="351" t="s">
        <v>4418</v>
      </c>
      <c r="G174" s="352" t="s">
        <v>4879</v>
      </c>
      <c r="H174" s="351" t="s">
        <v>4488</v>
      </c>
      <c r="I174" s="353" t="s">
        <v>4484</v>
      </c>
      <c r="J174" s="354" t="str">
        <f>VLOOKUP(B174,'[5]0919門市清單主檔'!B:V,21,FALSE)</f>
        <v>板橋區</v>
      </c>
      <c r="K174" s="355" t="s">
        <v>4485</v>
      </c>
      <c r="L174" s="351" t="s">
        <v>1749</v>
      </c>
      <c r="M174" s="354"/>
    </row>
    <row r="175" spans="1:13" ht="22.95" customHeight="1">
      <c r="A175" s="351" t="s">
        <v>4880</v>
      </c>
      <c r="B175" s="351">
        <v>2224</v>
      </c>
      <c r="C175" s="352" t="s">
        <v>77</v>
      </c>
      <c r="D175" s="352" t="str">
        <f t="shared" si="2"/>
        <v>板橋莒光店1</v>
      </c>
      <c r="E175" s="351">
        <v>1</v>
      </c>
      <c r="F175" s="351" t="s">
        <v>4401</v>
      </c>
      <c r="G175" s="352" t="s">
        <v>4881</v>
      </c>
      <c r="H175" s="351" t="s">
        <v>4483</v>
      </c>
      <c r="I175" s="353" t="s">
        <v>4484</v>
      </c>
      <c r="J175" s="354" t="str">
        <f>VLOOKUP(B175,'[5]0919門市清單主檔'!B:V,21,FALSE)</f>
        <v>板橋區</v>
      </c>
      <c r="K175" s="355" t="s">
        <v>4485</v>
      </c>
      <c r="L175" s="351" t="s">
        <v>1749</v>
      </c>
      <c r="M175" s="354"/>
    </row>
    <row r="176" spans="1:13" ht="22.95" customHeight="1">
      <c r="A176" s="351" t="s">
        <v>4882</v>
      </c>
      <c r="B176" s="351">
        <v>2224</v>
      </c>
      <c r="C176" s="352" t="s">
        <v>77</v>
      </c>
      <c r="D176" s="352" t="str">
        <f t="shared" si="2"/>
        <v>板橋莒光店2</v>
      </c>
      <c r="E176" s="351">
        <v>2</v>
      </c>
      <c r="F176" s="351" t="s">
        <v>4402</v>
      </c>
      <c r="G176" s="352" t="s">
        <v>4883</v>
      </c>
      <c r="H176" s="351" t="s">
        <v>4483</v>
      </c>
      <c r="I176" s="353" t="s">
        <v>4484</v>
      </c>
      <c r="J176" s="354" t="str">
        <f>VLOOKUP(B176,'[5]0919門市清單主檔'!B:V,21,FALSE)</f>
        <v>板橋區</v>
      </c>
      <c r="K176" s="355" t="s">
        <v>4485</v>
      </c>
      <c r="L176" s="351" t="s">
        <v>1749</v>
      </c>
      <c r="M176" s="354"/>
    </row>
    <row r="177" spans="1:13" ht="22.95" customHeight="1">
      <c r="A177" s="351" t="s">
        <v>4884</v>
      </c>
      <c r="B177" s="351">
        <v>2995</v>
      </c>
      <c r="C177" s="352" t="s">
        <v>156</v>
      </c>
      <c r="D177" s="352" t="str">
        <f t="shared" si="2"/>
        <v>板橋湳雅夜市1</v>
      </c>
      <c r="E177" s="351">
        <v>1</v>
      </c>
      <c r="F177" s="351" t="s">
        <v>4415</v>
      </c>
      <c r="G177" s="352" t="s">
        <v>4885</v>
      </c>
      <c r="H177" s="351" t="s">
        <v>4488</v>
      </c>
      <c r="I177" s="353" t="s">
        <v>4490</v>
      </c>
      <c r="J177" s="354" t="str">
        <f>VLOOKUP(B177,'[5]0919門市清單主檔'!B:V,21,FALSE)</f>
        <v>板橋區</v>
      </c>
      <c r="K177" s="355" t="s">
        <v>4485</v>
      </c>
      <c r="L177" s="351" t="s">
        <v>1749</v>
      </c>
      <c r="M177" s="354"/>
    </row>
    <row r="178" spans="1:13" ht="22.95" customHeight="1">
      <c r="A178" s="351" t="s">
        <v>4886</v>
      </c>
      <c r="B178" s="351">
        <v>2995</v>
      </c>
      <c r="C178" s="352" t="s">
        <v>156</v>
      </c>
      <c r="D178" s="352" t="str">
        <f t="shared" si="2"/>
        <v>板橋湳雅夜市2</v>
      </c>
      <c r="E178" s="351">
        <v>2</v>
      </c>
      <c r="F178" s="351" t="s">
        <v>4416</v>
      </c>
      <c r="G178" s="352" t="s">
        <v>4887</v>
      </c>
      <c r="H178" s="351" t="s">
        <v>4488</v>
      </c>
      <c r="I178" s="353" t="s">
        <v>4490</v>
      </c>
      <c r="J178" s="354" t="str">
        <f>VLOOKUP(B178,'[5]0919門市清單主檔'!B:V,21,FALSE)</f>
        <v>板橋區</v>
      </c>
      <c r="K178" s="355" t="s">
        <v>4485</v>
      </c>
      <c r="L178" s="351" t="s">
        <v>1749</v>
      </c>
      <c r="M178" s="354"/>
    </row>
    <row r="179" spans="1:13" ht="22.95" customHeight="1">
      <c r="A179" s="351" t="s">
        <v>4888</v>
      </c>
      <c r="B179" s="351">
        <v>4145</v>
      </c>
      <c r="C179" s="352" t="s">
        <v>317</v>
      </c>
      <c r="D179" s="352" t="str">
        <f t="shared" si="2"/>
        <v>板橋僑興店1</v>
      </c>
      <c r="E179" s="351">
        <v>1</v>
      </c>
      <c r="F179" s="351" t="s">
        <v>4407</v>
      </c>
      <c r="G179" s="352" t="s">
        <v>4889</v>
      </c>
      <c r="H179" s="351" t="s">
        <v>4488</v>
      </c>
      <c r="I179" s="353" t="s">
        <v>4490</v>
      </c>
      <c r="J179" s="354" t="str">
        <f>VLOOKUP(B179,'[5]0919門市清單主檔'!B:V,21,FALSE)</f>
        <v>板橋區</v>
      </c>
      <c r="K179" s="355" t="s">
        <v>4485</v>
      </c>
      <c r="L179" s="351" t="s">
        <v>1749</v>
      </c>
      <c r="M179" s="354"/>
    </row>
    <row r="180" spans="1:13" ht="22.95" customHeight="1">
      <c r="A180" s="351" t="s">
        <v>4890</v>
      </c>
      <c r="B180" s="351">
        <v>4145</v>
      </c>
      <c r="C180" s="352" t="s">
        <v>317</v>
      </c>
      <c r="D180" s="352" t="str">
        <f t="shared" si="2"/>
        <v>板橋僑興店2</v>
      </c>
      <c r="E180" s="351">
        <v>2</v>
      </c>
      <c r="F180" s="351" t="s">
        <v>4408</v>
      </c>
      <c r="G180" s="352" t="s">
        <v>4891</v>
      </c>
      <c r="H180" s="351" t="s">
        <v>4488</v>
      </c>
      <c r="I180" s="353" t="s">
        <v>4490</v>
      </c>
      <c r="J180" s="354" t="str">
        <f>VLOOKUP(B180,'[5]0919門市清單主檔'!B:V,21,FALSE)</f>
        <v>板橋區</v>
      </c>
      <c r="K180" s="355" t="s">
        <v>4485</v>
      </c>
      <c r="L180" s="351" t="s">
        <v>1749</v>
      </c>
      <c r="M180" s="354"/>
    </row>
    <row r="181" spans="1:13" ht="22.95" customHeight="1">
      <c r="A181" s="351" t="s">
        <v>4892</v>
      </c>
      <c r="B181" s="351">
        <v>3818</v>
      </c>
      <c r="C181" s="352" t="s">
        <v>1420</v>
      </c>
      <c r="D181" s="352" t="str">
        <f t="shared" si="2"/>
        <v>板橋漢江店2</v>
      </c>
      <c r="E181" s="351">
        <v>2</v>
      </c>
      <c r="F181" s="351" t="s">
        <v>4235</v>
      </c>
      <c r="G181" s="352" t="s">
        <v>4893</v>
      </c>
      <c r="H181" s="351" t="s">
        <v>4495</v>
      </c>
      <c r="I181" s="353" t="s">
        <v>4484</v>
      </c>
      <c r="J181" s="354" t="str">
        <f>VLOOKUP(B181,'[5]0919門市清單主檔'!B:V,21,FALSE)</f>
        <v>板橋區</v>
      </c>
      <c r="K181" s="355" t="s">
        <v>4485</v>
      </c>
      <c r="L181" s="351" t="s">
        <v>1749</v>
      </c>
      <c r="M181" s="354"/>
    </row>
    <row r="182" spans="1:13" ht="22.95" customHeight="1">
      <c r="A182" s="351" t="s">
        <v>4894</v>
      </c>
      <c r="B182" s="351">
        <v>4046</v>
      </c>
      <c r="C182" s="352" t="s">
        <v>299</v>
      </c>
      <c r="D182" s="352" t="str">
        <f t="shared" si="2"/>
        <v>板橋福康店1</v>
      </c>
      <c r="E182" s="351">
        <v>1</v>
      </c>
      <c r="F182" s="351" t="s">
        <v>4405</v>
      </c>
      <c r="G182" s="352" t="s">
        <v>4895</v>
      </c>
      <c r="H182" s="351" t="s">
        <v>4495</v>
      </c>
      <c r="I182" s="353" t="s">
        <v>4484</v>
      </c>
      <c r="J182" s="354" t="str">
        <f>VLOOKUP(B182,'[5]0919門市清單主檔'!B:V,21,FALSE)</f>
        <v>板橋區</v>
      </c>
      <c r="K182" s="355" t="s">
        <v>4485</v>
      </c>
      <c r="L182" s="351" t="s">
        <v>1749</v>
      </c>
      <c r="M182" s="354"/>
    </row>
    <row r="183" spans="1:13" ht="22.95" customHeight="1">
      <c r="A183" s="351" t="s">
        <v>4896</v>
      </c>
      <c r="B183" s="351">
        <v>4046</v>
      </c>
      <c r="C183" s="352" t="s">
        <v>299</v>
      </c>
      <c r="D183" s="352" t="str">
        <f t="shared" si="2"/>
        <v>板橋福康店2</v>
      </c>
      <c r="E183" s="351">
        <v>2</v>
      </c>
      <c r="F183" s="351" t="s">
        <v>4406</v>
      </c>
      <c r="G183" s="352" t="s">
        <v>4897</v>
      </c>
      <c r="H183" s="351" t="s">
        <v>4495</v>
      </c>
      <c r="I183" s="353" t="s">
        <v>4484</v>
      </c>
      <c r="J183" s="354" t="str">
        <f>VLOOKUP(B183,'[5]0919門市清單主檔'!B:V,21,FALSE)</f>
        <v>板橋區</v>
      </c>
      <c r="K183" s="355" t="s">
        <v>4485</v>
      </c>
      <c r="L183" s="351" t="s">
        <v>1749</v>
      </c>
      <c r="M183" s="354"/>
    </row>
    <row r="184" spans="1:13" ht="22.95" customHeight="1">
      <c r="A184" s="351" t="s">
        <v>4898</v>
      </c>
      <c r="B184" s="351">
        <v>4917</v>
      </c>
      <c r="C184" s="352" t="s">
        <v>562</v>
      </c>
      <c r="D184" s="352" t="str">
        <f t="shared" si="2"/>
        <v>板橋翠華店2</v>
      </c>
      <c r="E184" s="351">
        <v>2</v>
      </c>
      <c r="F184" s="351" t="s">
        <v>4397</v>
      </c>
      <c r="G184" s="352" t="s">
        <v>4899</v>
      </c>
      <c r="H184" s="351" t="s">
        <v>4488</v>
      </c>
      <c r="I184" s="353" t="s">
        <v>4597</v>
      </c>
      <c r="J184" s="354" t="str">
        <f>VLOOKUP(B184,'[5]0919門市清單主檔'!B:V,21,FALSE)</f>
        <v>板橋區</v>
      </c>
      <c r="K184" s="355" t="s">
        <v>4485</v>
      </c>
      <c r="L184" s="351" t="s">
        <v>1749</v>
      </c>
      <c r="M184" s="354"/>
    </row>
    <row r="185" spans="1:13" ht="22.95" customHeight="1">
      <c r="A185" s="351" t="s">
        <v>4900</v>
      </c>
      <c r="B185" s="351">
        <v>2221</v>
      </c>
      <c r="C185" s="352" t="s">
        <v>1440</v>
      </c>
      <c r="D185" s="352" t="str">
        <f t="shared" si="2"/>
        <v>板橋雙十店2</v>
      </c>
      <c r="E185" s="351">
        <v>2</v>
      </c>
      <c r="F185" s="351" t="s">
        <v>4398</v>
      </c>
      <c r="G185" s="352" t="s">
        <v>4901</v>
      </c>
      <c r="H185" s="351" t="s">
        <v>4495</v>
      </c>
      <c r="I185" s="353" t="s">
        <v>4484</v>
      </c>
      <c r="J185" s="354" t="str">
        <f>VLOOKUP(B185,'[5]0919門市清單主檔'!B:V,21,FALSE)</f>
        <v>板橋區</v>
      </c>
      <c r="K185" s="355" t="s">
        <v>4485</v>
      </c>
      <c r="L185" s="351" t="s">
        <v>1749</v>
      </c>
      <c r="M185" s="354"/>
    </row>
    <row r="186" spans="1:13" ht="22.95" customHeight="1">
      <c r="A186" s="351" t="s">
        <v>4902</v>
      </c>
      <c r="B186" s="351">
        <v>3399</v>
      </c>
      <c r="C186" s="352" t="s">
        <v>4053</v>
      </c>
      <c r="D186" s="352" t="str">
        <f t="shared" si="2"/>
        <v>板橋藝文中心1</v>
      </c>
      <c r="E186" s="351">
        <v>1</v>
      </c>
      <c r="F186" s="351" t="s">
        <v>4399</v>
      </c>
      <c r="G186" s="352" t="s">
        <v>4903</v>
      </c>
      <c r="H186" s="351" t="s">
        <v>4488</v>
      </c>
      <c r="I186" s="353" t="s">
        <v>4484</v>
      </c>
      <c r="J186" s="354" t="str">
        <f>VLOOKUP(B186,'[5]0919門市清單主檔'!B:V,21,FALSE)</f>
        <v>板橋區</v>
      </c>
      <c r="K186" s="355" t="s">
        <v>4485</v>
      </c>
      <c r="L186" s="351" t="s">
        <v>1749</v>
      </c>
      <c r="M186" s="354"/>
    </row>
    <row r="187" spans="1:13" ht="22.95" customHeight="1">
      <c r="A187" s="351" t="s">
        <v>4904</v>
      </c>
      <c r="B187" s="351">
        <v>3399</v>
      </c>
      <c r="C187" s="352" t="s">
        <v>4053</v>
      </c>
      <c r="D187" s="352" t="str">
        <f t="shared" si="2"/>
        <v>板橋藝文中心2</v>
      </c>
      <c r="E187" s="351">
        <v>2</v>
      </c>
      <c r="F187" s="351" t="s">
        <v>4400</v>
      </c>
      <c r="G187" s="352" t="s">
        <v>4905</v>
      </c>
      <c r="H187" s="351" t="s">
        <v>4488</v>
      </c>
      <c r="I187" s="353" t="s">
        <v>4484</v>
      </c>
      <c r="J187" s="354" t="str">
        <f>VLOOKUP(B187,'[5]0919門市清單主檔'!B:V,21,FALSE)</f>
        <v>板橋區</v>
      </c>
      <c r="K187" s="355" t="s">
        <v>4485</v>
      </c>
      <c r="L187" s="351" t="s">
        <v>1749</v>
      </c>
      <c r="M187" s="354"/>
    </row>
    <row r="188" spans="1:13" ht="22.95" customHeight="1">
      <c r="A188" s="351" t="s">
        <v>4906</v>
      </c>
      <c r="B188" s="351" t="s">
        <v>34</v>
      </c>
      <c r="C188" s="352" t="s">
        <v>657</v>
      </c>
      <c r="D188" s="352" t="str">
        <f t="shared" si="2"/>
        <v>板橋寶翠店1</v>
      </c>
      <c r="E188" s="351">
        <v>1</v>
      </c>
      <c r="F188" s="351" t="s">
        <v>4181</v>
      </c>
      <c r="G188" s="352" t="s">
        <v>4907</v>
      </c>
      <c r="H188" s="351" t="s">
        <v>4488</v>
      </c>
      <c r="I188" s="353" t="s">
        <v>4484</v>
      </c>
      <c r="J188" s="354" t="str">
        <f>VLOOKUP(B188,'[5]0919門市清單主檔'!B:V,21,FALSE)</f>
        <v>板橋區</v>
      </c>
      <c r="K188" s="355" t="s">
        <v>4485</v>
      </c>
      <c r="L188" s="351" t="s">
        <v>1749</v>
      </c>
      <c r="M188" s="354"/>
    </row>
    <row r="189" spans="1:13" ht="22.95" customHeight="1">
      <c r="A189" s="351" t="s">
        <v>4908</v>
      </c>
      <c r="B189" s="351" t="s">
        <v>34</v>
      </c>
      <c r="C189" s="352" t="s">
        <v>657</v>
      </c>
      <c r="D189" s="352" t="str">
        <f t="shared" si="2"/>
        <v>板橋寶翠店2</v>
      </c>
      <c r="E189" s="351">
        <v>2</v>
      </c>
      <c r="F189" s="351" t="s">
        <v>4182</v>
      </c>
      <c r="G189" s="352" t="s">
        <v>4909</v>
      </c>
      <c r="H189" s="351" t="s">
        <v>4488</v>
      </c>
      <c r="I189" s="353" t="s">
        <v>4484</v>
      </c>
      <c r="J189" s="354" t="str">
        <f>VLOOKUP(B189,'[5]0919門市清單主檔'!B:V,21,FALSE)</f>
        <v>板橋區</v>
      </c>
      <c r="K189" s="355" t="s">
        <v>4485</v>
      </c>
      <c r="L189" s="351" t="s">
        <v>1749</v>
      </c>
      <c r="M189" s="354"/>
    </row>
    <row r="190" spans="1:13" ht="22.95" customHeight="1">
      <c r="A190" s="351" t="s">
        <v>5046</v>
      </c>
      <c r="B190" s="351">
        <v>2069</v>
      </c>
      <c r="C190" s="352" t="s">
        <v>4123</v>
      </c>
      <c r="D190" s="352" t="str">
        <f t="shared" si="2"/>
        <v>板橋江子翠站1</v>
      </c>
      <c r="E190" s="351">
        <v>1</v>
      </c>
      <c r="F190" s="351" t="s">
        <v>4403</v>
      </c>
      <c r="G190" s="352" t="s">
        <v>5047</v>
      </c>
      <c r="H190" s="351" t="s">
        <v>4495</v>
      </c>
      <c r="I190" s="353" t="s">
        <v>4484</v>
      </c>
      <c r="J190" s="354" t="str">
        <f>VLOOKUP(B190,'[5]0919門市清單主檔'!B:V,21,FALSE)</f>
        <v>板橋區</v>
      </c>
      <c r="K190" s="355" t="s">
        <v>4485</v>
      </c>
      <c r="L190" s="351">
        <v>0</v>
      </c>
      <c r="M190" s="354"/>
    </row>
    <row r="191" spans="1:13" ht="22.95" customHeight="1">
      <c r="A191" s="351" t="s">
        <v>5048</v>
      </c>
      <c r="B191" s="351">
        <v>2069</v>
      </c>
      <c r="C191" s="352" t="s">
        <v>4123</v>
      </c>
      <c r="D191" s="352" t="str">
        <f t="shared" si="2"/>
        <v>板橋江子翠站2</v>
      </c>
      <c r="E191" s="351">
        <v>2</v>
      </c>
      <c r="F191" s="351" t="s">
        <v>4404</v>
      </c>
      <c r="G191" s="352" t="s">
        <v>5049</v>
      </c>
      <c r="H191" s="351" t="s">
        <v>4488</v>
      </c>
      <c r="I191" s="353" t="s">
        <v>4500</v>
      </c>
      <c r="J191" s="354" t="str">
        <f>VLOOKUP(B191,'[5]0919門市清單主檔'!B:V,21,FALSE)</f>
        <v>板橋區</v>
      </c>
      <c r="K191" s="355" t="s">
        <v>4485</v>
      </c>
      <c r="L191" s="351">
        <v>0</v>
      </c>
      <c r="M191" s="354"/>
    </row>
    <row r="192" spans="1:13" ht="22.95" customHeight="1">
      <c r="A192" s="351" t="s">
        <v>4498</v>
      </c>
      <c r="B192" s="351">
        <v>3243</v>
      </c>
      <c r="C192" s="352" t="s">
        <v>174</v>
      </c>
      <c r="D192" s="352" t="str">
        <f t="shared" si="2"/>
        <v>北縣醒吾店1</v>
      </c>
      <c r="E192" s="351">
        <v>1</v>
      </c>
      <c r="F192" s="351" t="s">
        <v>4431</v>
      </c>
      <c r="G192" s="352" t="s">
        <v>4499</v>
      </c>
      <c r="H192" s="351" t="s">
        <v>4495</v>
      </c>
      <c r="I192" s="353" t="s">
        <v>4500</v>
      </c>
      <c r="J192" s="354" t="str">
        <f>VLOOKUP(B192,'[5]0919門市清單主檔'!B:V,21,FALSE)</f>
        <v>林口區</v>
      </c>
      <c r="K192" s="355" t="s">
        <v>4485</v>
      </c>
      <c r="L192" s="351" t="s">
        <v>4046</v>
      </c>
      <c r="M192" s="354"/>
    </row>
    <row r="193" spans="1:13" ht="22.95" customHeight="1">
      <c r="A193" s="351" t="s">
        <v>4501</v>
      </c>
      <c r="B193" s="351">
        <v>3243</v>
      </c>
      <c r="C193" s="352" t="s">
        <v>174</v>
      </c>
      <c r="D193" s="352" t="str">
        <f t="shared" si="2"/>
        <v>北縣醒吾店2</v>
      </c>
      <c r="E193" s="351">
        <v>2</v>
      </c>
      <c r="F193" s="351" t="s">
        <v>4432</v>
      </c>
      <c r="G193" s="352" t="s">
        <v>4502</v>
      </c>
      <c r="H193" s="351" t="s">
        <v>4488</v>
      </c>
      <c r="I193" s="353" t="s">
        <v>4484</v>
      </c>
      <c r="J193" s="354" t="str">
        <f>VLOOKUP(B193,'[5]0919門市清單主檔'!B:V,21,FALSE)</f>
        <v>林口區</v>
      </c>
      <c r="K193" s="355" t="s">
        <v>4485</v>
      </c>
      <c r="L193" s="351" t="s">
        <v>4046</v>
      </c>
      <c r="M193" s="354"/>
    </row>
    <row r="194" spans="1:13" ht="22.95" customHeight="1">
      <c r="A194" s="351" t="s">
        <v>4910</v>
      </c>
      <c r="B194" s="351">
        <v>4834</v>
      </c>
      <c r="C194" s="352" t="s">
        <v>540</v>
      </c>
      <c r="D194" s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     <v>4911</v>
      </c>
      <c r="H194" s="351" t="s">
        <v>4495</v>
      </c>
      <c r="I194" s="353" t="s">
        <v>4484</v>
      </c>
      <c r="J194" s="354" t="str">
        <f>VLOOKUP(B194,'[5]0919門市清單主檔'!B:V,21,FALSE)</f>
        <v>林口區</v>
      </c>
      <c r="K194" s="355" t="s">
        <v>4485</v>
      </c>
      <c r="L194" s="351" t="s">
        <v>1749</v>
      </c>
      <c r="M194" s="354"/>
    </row>
    <row r="195" spans="1:13" ht="22.95" customHeight="1">
      <c r="A195" s="351" t="s">
        <v>4912</v>
      </c>
      <c r="B195" s="351">
        <v>4326</v>
      </c>
      <c r="C195" s="352" t="s">
        <v>369</v>
      </c>
      <c r="D195" s="352" t="str">
        <f t="shared" si="3"/>
        <v>林口建安店1</v>
      </c>
      <c r="E195" s="351">
        <v>1</v>
      </c>
      <c r="F195" s="351" t="s">
        <v>4423</v>
      </c>
      <c r="G195" s="352" t="s">
        <v>4913</v>
      </c>
      <c r="H195" s="351" t="s">
        <v>4488</v>
      </c>
      <c r="I195" s="353" t="s">
        <v>4484</v>
      </c>
      <c r="J195" s="354" t="str">
        <f>VLOOKUP(B195,'[5]0919門市清單主檔'!B:V,21,FALSE)</f>
        <v>林口區</v>
      </c>
      <c r="K195" s="355" t="s">
        <v>4485</v>
      </c>
      <c r="L195" s="351" t="s">
        <v>1749</v>
      </c>
      <c r="M195" s="354"/>
    </row>
    <row r="196" spans="1:13" ht="22.95" customHeight="1">
      <c r="A196" s="351" t="s">
        <v>4914</v>
      </c>
      <c r="B196" s="351">
        <v>4326</v>
      </c>
      <c r="C196" s="352" t="s">
        <v>369</v>
      </c>
      <c r="D196" s="352" t="str">
        <f t="shared" si="3"/>
        <v>林口建安店2</v>
      </c>
      <c r="E196" s="351">
        <v>2</v>
      </c>
      <c r="F196" s="351" t="s">
        <v>4424</v>
      </c>
      <c r="G196" s="352" t="s">
        <v>4915</v>
      </c>
      <c r="H196" s="351" t="s">
        <v>4488</v>
      </c>
      <c r="I196" s="353" t="s">
        <v>4484</v>
      </c>
      <c r="J196" s="354" t="str">
        <f>VLOOKUP(B196,'[5]0919門市清單主檔'!B:V,21,FALSE)</f>
        <v>林口區</v>
      </c>
      <c r="K196" s="355" t="s">
        <v>4485</v>
      </c>
      <c r="L196" s="351" t="s">
        <v>1749</v>
      </c>
      <c r="M196" s="354"/>
    </row>
    <row r="197" spans="1:13" ht="22.95" customHeight="1">
      <c r="A197" s="351" t="s">
        <v>4916</v>
      </c>
      <c r="B197" s="351">
        <v>4057</v>
      </c>
      <c r="C197" s="352" t="s">
        <v>303</v>
      </c>
      <c r="D197" s="352" t="str">
        <f t="shared" si="3"/>
        <v>林口香澄店1</v>
      </c>
      <c r="E197" s="351">
        <v>1</v>
      </c>
      <c r="F197" s="351" t="s">
        <v>4261</v>
      </c>
      <c r="G197" s="352" t="s">
        <v>4917</v>
      </c>
      <c r="H197" s="351" t="s">
        <v>4488</v>
      </c>
      <c r="I197" s="353" t="s">
        <v>4484</v>
      </c>
      <c r="J197" s="354" t="str">
        <f>VLOOKUP(B197,'[5]0919門市清單主檔'!B:V,21,FALSE)</f>
        <v>林口區</v>
      </c>
      <c r="K197" s="355" t="s">
        <v>4485</v>
      </c>
      <c r="L197" s="351" t="s">
        <v>1749</v>
      </c>
      <c r="M197" s="354"/>
    </row>
    <row r="198" spans="1:13" ht="22.95" customHeight="1">
      <c r="A198" s="351" t="s">
        <v>4918</v>
      </c>
      <c r="B198" s="351">
        <v>4057</v>
      </c>
      <c r="C198" s="352" t="s">
        <v>303</v>
      </c>
      <c r="D198" s="352" t="str">
        <f t="shared" si="3"/>
        <v>林口香澄店2</v>
      </c>
      <c r="E198" s="351">
        <v>2</v>
      </c>
      <c r="F198" s="351" t="s">
        <v>4262</v>
      </c>
      <c r="G198" s="352" t="s">
        <v>4919</v>
      </c>
      <c r="H198" s="351" t="s">
        <v>4488</v>
      </c>
      <c r="I198" s="353" t="s">
        <v>4484</v>
      </c>
      <c r="J198" s="354" t="str">
        <f>VLOOKUP(B198,'[5]0919門市清單主檔'!B:V,21,FALSE)</f>
        <v>林口區</v>
      </c>
      <c r="K198" s="355" t="s">
        <v>4485</v>
      </c>
      <c r="L198" s="351" t="s">
        <v>1749</v>
      </c>
      <c r="M198" s="354"/>
    </row>
    <row r="199" spans="1:13" ht="22.95" customHeight="1">
      <c r="A199" s="351" t="s">
        <v>4920</v>
      </c>
      <c r="B199" s="351">
        <v>4715</v>
      </c>
      <c r="C199" s="352" t="s">
        <v>495</v>
      </c>
      <c r="D199" s="352" t="str">
        <f t="shared" si="3"/>
        <v>林口捷韻店1</v>
      </c>
      <c r="E199" s="351">
        <v>1</v>
      </c>
      <c r="F199" s="351" t="s">
        <v>4425</v>
      </c>
      <c r="G199" s="352" t="s">
        <v>4921</v>
      </c>
      <c r="H199" s="351" t="s">
        <v>4488</v>
      </c>
      <c r="I199" s="353" t="s">
        <v>4484</v>
      </c>
      <c r="J199" s="354" t="str">
        <f>VLOOKUP(B199,'[5]0919門市清單主檔'!B:V,21,FALSE)</f>
        <v>林口區</v>
      </c>
      <c r="K199" s="355" t="s">
        <v>4485</v>
      </c>
      <c r="L199" s="351" t="s">
        <v>1749</v>
      </c>
      <c r="M199" s="354"/>
    </row>
    <row r="200" spans="1:13" ht="22.95" customHeight="1">
      <c r="A200" s="351" t="s">
        <v>4922</v>
      </c>
      <c r="B200" s="351">
        <v>4715</v>
      </c>
      <c r="C200" s="352" t="s">
        <v>495</v>
      </c>
      <c r="D200" s="352" t="str">
        <f t="shared" si="3"/>
        <v>林口捷韻店2</v>
      </c>
      <c r="E200" s="351">
        <v>2</v>
      </c>
      <c r="F200" s="351" t="s">
        <v>4426</v>
      </c>
      <c r="G200" s="352" t="s">
        <v>4923</v>
      </c>
      <c r="H200" s="351" t="s">
        <v>4488</v>
      </c>
      <c r="I200" s="353" t="s">
        <v>4484</v>
      </c>
      <c r="J200" s="354" t="str">
        <f>VLOOKUP(B200,'[5]0919門市清單主檔'!B:V,21,FALSE)</f>
        <v>林口區</v>
      </c>
      <c r="K200" s="355" t="s">
        <v>4485</v>
      </c>
      <c r="L200" s="351" t="s">
        <v>1749</v>
      </c>
      <c r="M200" s="354"/>
    </row>
    <row r="201" spans="1:13" ht="22.95" customHeight="1">
      <c r="A201" s="351" t="s">
        <v>4924</v>
      </c>
      <c r="B201" s="351">
        <v>3878</v>
      </c>
      <c r="C201" s="352" t="s">
        <v>254</v>
      </c>
      <c r="D201" s="352" t="str">
        <f t="shared" si="3"/>
        <v>林口清梅店1</v>
      </c>
      <c r="E201" s="351">
        <v>1</v>
      </c>
      <c r="F201" s="351" t="s">
        <v>4284</v>
      </c>
      <c r="G201" s="352" t="s">
        <v>4925</v>
      </c>
      <c r="H201" s="351" t="s">
        <v>4488</v>
      </c>
      <c r="I201" s="353" t="s">
        <v>4484</v>
      </c>
      <c r="J201" s="354" t="str">
        <f>VLOOKUP(B201,'[5]0919門市清單主檔'!B:V,21,FALSE)</f>
        <v>林口區</v>
      </c>
      <c r="K201" s="355" t="s">
        <v>4485</v>
      </c>
      <c r="L201" s="351" t="s">
        <v>1749</v>
      </c>
      <c r="M201" s="354"/>
    </row>
    <row r="202" spans="1:13" ht="22.95" customHeight="1">
      <c r="A202" s="351" t="s">
        <v>4926</v>
      </c>
      <c r="B202" s="351">
        <v>4483</v>
      </c>
      <c r="C202" s="352" t="s">
        <v>411</v>
      </c>
      <c r="D202" s="352" t="str">
        <f t="shared" si="3"/>
        <v>林口築夢店1</v>
      </c>
      <c r="E202" s="351">
        <v>1</v>
      </c>
      <c r="F202" s="351" t="s">
        <v>4430</v>
      </c>
      <c r="G202" s="352" t="s">
        <v>4927</v>
      </c>
      <c r="H202" s="351" t="s">
        <v>4495</v>
      </c>
      <c r="I202" s="353" t="s">
        <v>4484</v>
      </c>
      <c r="J202" s="354" t="str">
        <f>VLOOKUP(B202,'[5]0919門市清單主檔'!B:V,21,FALSE)</f>
        <v>林口區</v>
      </c>
      <c r="K202" s="355" t="s">
        <v>4485</v>
      </c>
      <c r="L202" s="351" t="s">
        <v>1749</v>
      </c>
      <c r="M202" s="354"/>
    </row>
    <row r="203" spans="1:13" ht="22.95" customHeight="1">
      <c r="A203" s="351" t="s">
        <v>4928</v>
      </c>
      <c r="B203" s="351">
        <v>4154</v>
      </c>
      <c r="C203" s="352" t="s">
        <v>319</v>
      </c>
      <c r="D203" s="352" t="str">
        <f t="shared" si="3"/>
        <v>林口麗園店1</v>
      </c>
      <c r="E203" s="351">
        <v>1</v>
      </c>
      <c r="F203" s="351" t="s">
        <v>4428</v>
      </c>
      <c r="G203" s="352" t="s">
        <v>4929</v>
      </c>
      <c r="H203" s="351" t="s">
        <v>4483</v>
      </c>
      <c r="I203" s="353" t="s">
        <v>4484</v>
      </c>
      <c r="J203" s="354" t="str">
        <f>VLOOKUP(B203,'[5]0919門市清單主檔'!B:V,21,FALSE)</f>
        <v>林口區</v>
      </c>
      <c r="K203" s="355" t="s">
        <v>4485</v>
      </c>
      <c r="L203" s="351" t="s">
        <v>1749</v>
      </c>
      <c r="M203" s="354"/>
    </row>
    <row r="204" spans="1:13" ht="22.95" customHeight="1">
      <c r="A204" s="351" t="s">
        <v>4930</v>
      </c>
      <c r="B204" s="351">
        <v>4154</v>
      </c>
      <c r="C204" s="352" t="s">
        <v>319</v>
      </c>
      <c r="D204" s="352" t="str">
        <f t="shared" si="3"/>
        <v>林口麗園店2</v>
      </c>
      <c r="E204" s="351">
        <v>2</v>
      </c>
      <c r="F204" s="351" t="s">
        <v>4429</v>
      </c>
      <c r="G204" s="352" t="s">
        <v>4931</v>
      </c>
      <c r="H204" s="351" t="s">
        <v>4495</v>
      </c>
      <c r="I204" s="353" t="s">
        <v>4484</v>
      </c>
      <c r="J204" s="354" t="str">
        <f>VLOOKUP(B204,'[5]0919門市清單主檔'!B:V,21,FALSE)</f>
        <v>林口區</v>
      </c>
      <c r="K204" s="355" t="s">
        <v>4485</v>
      </c>
      <c r="L204" s="351" t="s">
        <v>1749</v>
      </c>
      <c r="M204" s="354"/>
    </row>
    <row r="205" spans="1:13" ht="22.95" customHeight="1">
      <c r="A205" s="351" t="s">
        <v>4788</v>
      </c>
      <c r="B205" s="351">
        <v>2267</v>
      </c>
      <c r="C205" s="352" t="s">
        <v>83</v>
      </c>
      <c r="D205" s="352" t="str">
        <f t="shared" si="3"/>
        <v>北縣金陽店1</v>
      </c>
      <c r="E205" s="351">
        <v>1</v>
      </c>
      <c r="F205" s="351" t="s">
        <v>4263</v>
      </c>
      <c r="G205" s="352" t="s">
        <v>4789</v>
      </c>
      <c r="H205" s="351" t="s">
        <v>4495</v>
      </c>
      <c r="I205" s="353" t="s">
        <v>4484</v>
      </c>
      <c r="J205" s="354" t="str">
        <f>VLOOKUP(B205,'[5]0919門市清單主檔'!B:V,21,FALSE)</f>
        <v>金山區</v>
      </c>
      <c r="K205" s="355" t="s">
        <v>4485</v>
      </c>
      <c r="L205" s="351" t="s">
        <v>1749</v>
      </c>
      <c r="M205" s="354"/>
    </row>
    <row r="206" spans="1:13" ht="22.95" customHeight="1">
      <c r="A206" s="351" t="s">
        <v>4790</v>
      </c>
      <c r="B206" s="351">
        <v>2267</v>
      </c>
      <c r="C206" s="352" t="s">
        <v>83</v>
      </c>
      <c r="D206" s="352" t="str">
        <f t="shared" si="3"/>
        <v>北縣金陽店2</v>
      </c>
      <c r="E206" s="351">
        <v>2</v>
      </c>
      <c r="F206" s="351" t="s">
        <v>4264</v>
      </c>
      <c r="G206" s="352" t="s">
        <v>4791</v>
      </c>
      <c r="H206" s="351" t="s">
        <v>4495</v>
      </c>
      <c r="I206" s="353" t="s">
        <v>4484</v>
      </c>
      <c r="J206" s="354" t="str">
        <f>VLOOKUP(B206,'[5]0919門市清單主檔'!B:V,21,FALSE)</f>
        <v>金山區</v>
      </c>
      <c r="K206" s="355" t="s">
        <v>4485</v>
      </c>
      <c r="L206" s="351" t="s">
        <v>1749</v>
      </c>
      <c r="M206" s="354"/>
    </row>
    <row r="207" spans="1:13" ht="22.95" customHeight="1">
      <c r="A207" s="351" t="s">
        <v>4811</v>
      </c>
      <c r="B207" s="351">
        <v>3606</v>
      </c>
      <c r="C207" s="352" t="s">
        <v>209</v>
      </c>
      <c r="D207" s="352" t="str">
        <f t="shared" si="3"/>
        <v>北縣泰富店1</v>
      </c>
      <c r="E207" s="351">
        <v>1</v>
      </c>
      <c r="F207" s="351" t="s">
        <v>4259</v>
      </c>
      <c r="G207" s="352" t="s">
        <v>4812</v>
      </c>
      <c r="H207" s="351" t="s">
        <v>4488</v>
      </c>
      <c r="I207" s="353" t="s">
        <v>4484</v>
      </c>
      <c r="J207" s="354" t="str">
        <f>VLOOKUP(B207,'[5]0919門市清單主檔'!B:V,21,FALSE)</f>
        <v>泰山區</v>
      </c>
      <c r="K207" s="355" t="s">
        <v>4485</v>
      </c>
      <c r="L207" s="351" t="s">
        <v>1749</v>
      </c>
      <c r="M207" s="354"/>
    </row>
    <row r="208" spans="1:13" ht="22.95" customHeight="1">
      <c r="A208" s="351" t="s">
        <v>4813</v>
      </c>
      <c r="B208" s="351">
        <v>3606</v>
      </c>
      <c r="C208" s="352" t="s">
        <v>209</v>
      </c>
      <c r="D208" s="352" t="str">
        <f t="shared" si="3"/>
        <v>北縣泰富店2</v>
      </c>
      <c r="E208" s="351">
        <v>2</v>
      </c>
      <c r="F208" s="351" t="s">
        <v>4260</v>
      </c>
      <c r="G208" s="352" t="s">
        <v>4814</v>
      </c>
      <c r="H208" s="351" t="s">
        <v>4488</v>
      </c>
      <c r="I208" s="353" t="s">
        <v>4484</v>
      </c>
      <c r="J208" s="354" t="str">
        <f>VLOOKUP(B208,'[5]0919門市清單主檔'!B:V,21,FALSE)</f>
        <v>泰山區</v>
      </c>
      <c r="K208" s="355" t="s">
        <v>4485</v>
      </c>
      <c r="L208" s="351" t="s">
        <v>1749</v>
      </c>
      <c r="M208" s="354"/>
    </row>
    <row r="209" spans="1:13" ht="22.95" customHeight="1">
      <c r="A209" s="351" t="s">
        <v>4932</v>
      </c>
      <c r="B209" s="351">
        <v>4656</v>
      </c>
      <c r="C209" s="352" t="s">
        <v>477</v>
      </c>
      <c r="D209" s="352" t="str">
        <f t="shared" si="3"/>
        <v>泰山新民店1</v>
      </c>
      <c r="E209" s="351">
        <v>1</v>
      </c>
      <c r="F209" s="351" t="s">
        <v>4257</v>
      </c>
      <c r="G209" s="352" t="s">
        <v>4933</v>
      </c>
      <c r="H209" s="351" t="s">
        <v>4934</v>
      </c>
      <c r="I209" s="353" t="s">
        <v>4500</v>
      </c>
      <c r="J209" s="354" t="str">
        <f>VLOOKUP(B209,'[5]0919門市清單主檔'!B:V,21,FALSE)</f>
        <v>泰山區</v>
      </c>
      <c r="K209" s="355" t="s">
        <v>4485</v>
      </c>
      <c r="L209" s="351" t="s">
        <v>1749</v>
      </c>
      <c r="M209" s="354"/>
    </row>
    <row r="210" spans="1:13" ht="22.95" customHeight="1">
      <c r="A210" s="351" t="s">
        <v>4935</v>
      </c>
      <c r="B210" s="351">
        <v>4656</v>
      </c>
      <c r="C210" s="352" t="s">
        <v>477</v>
      </c>
      <c r="D210" s="352" t="str">
        <f t="shared" si="3"/>
        <v>泰山新民店2</v>
      </c>
      <c r="E210" s="351">
        <v>2</v>
      </c>
      <c r="F210" s="351" t="s">
        <v>4258</v>
      </c>
      <c r="G210" s="352" t="s">
        <v>4936</v>
      </c>
      <c r="H210" s="351" t="s">
        <v>4488</v>
      </c>
      <c r="I210" s="353" t="s">
        <v>4484</v>
      </c>
      <c r="J210" s="354" t="str">
        <f>VLOOKUP(B210,'[5]0919門市清單主檔'!B:V,21,FALSE)</f>
        <v>泰山區</v>
      </c>
      <c r="K210" s="355" t="s">
        <v>4485</v>
      </c>
      <c r="L210" s="351" t="s">
        <v>1749</v>
      </c>
      <c r="M210" s="354"/>
    </row>
    <row r="211" spans="1:13" ht="22.95" customHeight="1">
      <c r="A211" s="351" t="s">
        <v>4507</v>
      </c>
      <c r="B211" s="351">
        <v>3751</v>
      </c>
      <c r="C211" s="352" t="s">
        <v>233</v>
      </c>
      <c r="D211" s="352" t="str">
        <f t="shared" si="3"/>
        <v>淡水真理大1</v>
      </c>
      <c r="E211" s="351">
        <v>1</v>
      </c>
      <c r="F211" s="351" t="s">
        <v>4357</v>
      </c>
      <c r="G211" s="352" t="s">
        <v>4508</v>
      </c>
      <c r="H211" s="351" t="s">
        <v>4488</v>
      </c>
      <c r="I211" s="353" t="s">
        <v>4484</v>
      </c>
      <c r="J211" s="354" t="str">
        <f>VLOOKUP(B211,'[5]0919門市清單主檔'!B:V,21,FALSE)</f>
        <v>淡水區</v>
      </c>
      <c r="K211" s="355" t="s">
        <v>4485</v>
      </c>
      <c r="L211" s="351" t="s">
        <v>4046</v>
      </c>
      <c r="M211" s="354"/>
    </row>
    <row r="212" spans="1:13" ht="22.95" customHeight="1">
      <c r="A212" s="351" t="s">
        <v>4509</v>
      </c>
      <c r="B212" s="351">
        <v>3751</v>
      </c>
      <c r="C212" s="352" t="s">
        <v>233</v>
      </c>
      <c r="D212" s="352" t="str">
        <f t="shared" si="3"/>
        <v>淡水真理大2</v>
      </c>
      <c r="E212" s="351">
        <v>2</v>
      </c>
      <c r="F212" s="351" t="s">
        <v>4358</v>
      </c>
      <c r="G212" s="352" t="s">
        <v>4510</v>
      </c>
      <c r="H212" s="351" t="s">
        <v>4488</v>
      </c>
      <c r="I212" s="353" t="s">
        <v>4484</v>
      </c>
      <c r="J212" s="354" t="str">
        <f>VLOOKUP(B212,'[5]0919門市清單主檔'!B:V,21,FALSE)</f>
        <v>淡水區</v>
      </c>
      <c r="K212" s="355" t="s">
        <v>4485</v>
      </c>
      <c r="L212" s="351" t="s">
        <v>4046</v>
      </c>
      <c r="M212" s="354"/>
    </row>
    <row r="213" spans="1:13" ht="22.95" customHeight="1">
      <c r="A213" s="351" t="s">
        <v>4819</v>
      </c>
      <c r="B213" s="351">
        <v>2318</v>
      </c>
      <c r="C213" s="352" t="s">
        <v>92</v>
      </c>
      <c r="D213" s="352" t="str">
        <f t="shared" si="3"/>
        <v>北縣淡俊店2</v>
      </c>
      <c r="E213" s="351">
        <v>2</v>
      </c>
      <c r="F213" s="351" t="s">
        <v>4303</v>
      </c>
      <c r="G213" s="352" t="s">
        <v>4820</v>
      </c>
      <c r="H213" s="351" t="s">
        <v>4483</v>
      </c>
      <c r="I213" s="353" t="s">
        <v>4484</v>
      </c>
      <c r="J213" s="354" t="str">
        <f>VLOOKUP(B213,'[5]0919門市清單主檔'!B:V,21,FALSE)</f>
        <v>淡水區</v>
      </c>
      <c r="K213" s="355" t="s">
        <v>4485</v>
      </c>
      <c r="L213" s="351" t="s">
        <v>1749</v>
      </c>
      <c r="M213" s="354"/>
    </row>
    <row r="214" spans="1:13" ht="22.95" customHeight="1">
      <c r="A214" s="351" t="s">
        <v>4937</v>
      </c>
      <c r="B214" s="351">
        <v>2897</v>
      </c>
      <c r="C214" s="352" t="s">
        <v>147</v>
      </c>
      <c r="D214" s="352" t="str">
        <f t="shared" si="3"/>
        <v>淡水台電宿舍1</v>
      </c>
      <c r="E214" s="351">
        <v>1</v>
      </c>
      <c r="F214" s="351" t="s">
        <v>4363</v>
      </c>
      <c r="G214" s="352" t="s">
        <v>4938</v>
      </c>
      <c r="H214" s="351" t="s">
        <v>4488</v>
      </c>
      <c r="I214" s="353" t="s">
        <v>4484</v>
      </c>
      <c r="J214" s="354" t="str">
        <f>VLOOKUP(B214,'[5]0919門市清單主檔'!B:V,21,FALSE)</f>
        <v>淡水區</v>
      </c>
      <c r="K214" s="355" t="s">
        <v>4485</v>
      </c>
      <c r="L214" s="351" t="s">
        <v>1749</v>
      </c>
      <c r="M214" s="354"/>
    </row>
    <row r="215" spans="1:13" ht="22.95" customHeight="1">
      <c r="A215" s="351" t="s">
        <v>4939</v>
      </c>
      <c r="B215" s="351">
        <v>2897</v>
      </c>
      <c r="C215" s="352" t="s">
        <v>147</v>
      </c>
      <c r="D215" s="352" t="str">
        <f t="shared" si="3"/>
        <v>淡水台電宿舍2</v>
      </c>
      <c r="E215" s="351">
        <v>2</v>
      </c>
      <c r="F215" s="351" t="s">
        <v>4364</v>
      </c>
      <c r="G215" s="352" t="s">
        <v>4940</v>
      </c>
      <c r="H215" s="351" t="s">
        <v>4488</v>
      </c>
      <c r="I215" s="353" t="s">
        <v>4484</v>
      </c>
      <c r="J215" s="354" t="str">
        <f>VLOOKUP(B215,'[5]0919門市清單主檔'!B:V,21,FALSE)</f>
        <v>淡水區</v>
      </c>
      <c r="K215" s="355" t="s">
        <v>4485</v>
      </c>
      <c r="L215" s="351" t="s">
        <v>1749</v>
      </c>
      <c r="M215" s="354"/>
    </row>
    <row r="216" spans="1:13" ht="22.95" customHeight="1">
      <c r="A216" s="351" t="s">
        <v>4941</v>
      </c>
      <c r="B216" s="351">
        <v>2749</v>
      </c>
      <c r="C216" s="352" t="s">
        <v>132</v>
      </c>
      <c r="D216" s="352" t="str">
        <f t="shared" si="3"/>
        <v>淡水灰瑤子1</v>
      </c>
      <c r="E216" s="351">
        <v>1</v>
      </c>
      <c r="F216" s="351" t="s">
        <v>4278</v>
      </c>
      <c r="G216" s="352" t="s">
        <v>4942</v>
      </c>
      <c r="H216" s="351" t="s">
        <v>4488</v>
      </c>
      <c r="I216" s="353" t="s">
        <v>4484</v>
      </c>
      <c r="J216" s="354" t="str">
        <f>VLOOKUP(B216,'[5]0919門市清單主檔'!B:V,21,FALSE)</f>
        <v>淡水區</v>
      </c>
      <c r="K216" s="355" t="s">
        <v>4485</v>
      </c>
      <c r="L216" s="351" t="s">
        <v>1749</v>
      </c>
      <c r="M216" s="354"/>
    </row>
    <row r="217" spans="1:13" ht="22.95" customHeight="1">
      <c r="A217" s="351" t="s">
        <v>4943</v>
      </c>
      <c r="B217" s="351">
        <v>2749</v>
      </c>
      <c r="C217" s="352" t="s">
        <v>132</v>
      </c>
      <c r="D217" s="352" t="str">
        <f t="shared" si="3"/>
        <v>淡水灰瑤子2</v>
      </c>
      <c r="E217" s="351">
        <v>2</v>
      </c>
      <c r="F217" s="351" t="s">
        <v>4279</v>
      </c>
      <c r="G217" s="352" t="s">
        <v>4944</v>
      </c>
      <c r="H217" s="351" t="s">
        <v>4488</v>
      </c>
      <c r="I217" s="353" t="s">
        <v>4484</v>
      </c>
      <c r="J217" s="354" t="str">
        <f>VLOOKUP(B217,'[5]0919門市清單主檔'!B:V,21,FALSE)</f>
        <v>淡水區</v>
      </c>
      <c r="K217" s="355" t="s">
        <v>4485</v>
      </c>
      <c r="L217" s="351" t="s">
        <v>1749</v>
      </c>
      <c r="M217" s="354"/>
    </row>
    <row r="218" spans="1:13" ht="22.95" customHeight="1">
      <c r="A218" s="351" t="s">
        <v>4945</v>
      </c>
      <c r="B218" s="351" t="s">
        <v>42</v>
      </c>
      <c r="C218" s="352" t="s">
        <v>1485</v>
      </c>
      <c r="D218" s="352" t="str">
        <f t="shared" si="3"/>
        <v>淡水金龍店1</v>
      </c>
      <c r="E218" s="351">
        <v>1</v>
      </c>
      <c r="F218" s="351" t="s">
        <v>4178</v>
      </c>
      <c r="G218" s="352" t="s">
        <v>4946</v>
      </c>
      <c r="H218" s="351" t="s">
        <v>4495</v>
      </c>
      <c r="I218" s="353" t="s">
        <v>4490</v>
      </c>
      <c r="J218" s="354" t="str">
        <f>VLOOKUP(B218,'[5]0919門市清單主檔'!B:V,21,FALSE)</f>
        <v>淡水區</v>
      </c>
      <c r="K218" s="355" t="s">
        <v>4485</v>
      </c>
      <c r="L218" s="351" t="s">
        <v>1749</v>
      </c>
      <c r="M218" s="354"/>
    </row>
    <row r="219" spans="1:13" ht="22.95" customHeight="1">
      <c r="A219" s="351" t="s">
        <v>4947</v>
      </c>
      <c r="B219" s="351" t="s">
        <v>42</v>
      </c>
      <c r="C219" s="352" t="s">
        <v>1485</v>
      </c>
      <c r="D219" s="352" t="str">
        <f t="shared" si="3"/>
        <v>淡水金龍店2</v>
      </c>
      <c r="E219" s="351">
        <v>2</v>
      </c>
      <c r="F219" s="351" t="s">
        <v>4179</v>
      </c>
      <c r="G219" s="352" t="s">
        <v>4948</v>
      </c>
      <c r="H219" s="351" t="s">
        <v>4495</v>
      </c>
      <c r="I219" s="353" t="s">
        <v>4490</v>
      </c>
      <c r="J219" s="354" t="str">
        <f>VLOOKUP(B219,'[5]0919門市清單主檔'!B:V,21,FALSE)</f>
        <v>淡水區</v>
      </c>
      <c r="K219" s="355" t="s">
        <v>4485</v>
      </c>
      <c r="L219" s="351" t="s">
        <v>1749</v>
      </c>
      <c r="M219" s="354"/>
    </row>
    <row r="220" spans="1:13" ht="22.95" customHeight="1">
      <c r="A220" s="351" t="s">
        <v>4949</v>
      </c>
      <c r="B220" s="351">
        <v>4298</v>
      </c>
      <c r="C220" s="352" t="s">
        <v>360</v>
      </c>
      <c r="D220" s="352" t="str">
        <f t="shared" si="3"/>
        <v>淡水後洲店1</v>
      </c>
      <c r="E220" s="351">
        <v>1</v>
      </c>
      <c r="F220" s="351" t="s">
        <v>4367</v>
      </c>
      <c r="G220" s="352" t="s">
        <v>4950</v>
      </c>
      <c r="H220" s="351" t="s">
        <v>4495</v>
      </c>
      <c r="I220" s="353" t="s">
        <v>4484</v>
      </c>
      <c r="J220" s="354" t="str">
        <f>VLOOKUP(B220,'[5]0919門市清單主檔'!B:V,21,FALSE)</f>
        <v>淡水區</v>
      </c>
      <c r="K220" s="355" t="s">
        <v>4485</v>
      </c>
      <c r="L220" s="351" t="s">
        <v>1749</v>
      </c>
      <c r="M220" s="354"/>
    </row>
    <row r="221" spans="1:13" ht="22.95" customHeight="1">
      <c r="A221" s="351" t="s">
        <v>4951</v>
      </c>
      <c r="B221" s="351">
        <v>4298</v>
      </c>
      <c r="C221" s="352" t="s">
        <v>360</v>
      </c>
      <c r="D221" s="352" t="str">
        <f t="shared" si="3"/>
        <v>淡水後洲店2</v>
      </c>
      <c r="E221" s="351">
        <v>2</v>
      </c>
      <c r="F221" s="351" t="s">
        <v>4368</v>
      </c>
      <c r="G221" s="352" t="s">
        <v>4952</v>
      </c>
      <c r="H221" s="351" t="s">
        <v>4495</v>
      </c>
      <c r="I221" s="353" t="s">
        <v>4484</v>
      </c>
      <c r="J221" s="354" t="str">
        <f>VLOOKUP(B221,'[5]0919門市清單主檔'!B:V,21,FALSE)</f>
        <v>淡水區</v>
      </c>
      <c r="K221" s="355" t="s">
        <v>4485</v>
      </c>
      <c r="L221" s="351" t="s">
        <v>1749</v>
      </c>
      <c r="M221" s="354"/>
    </row>
    <row r="222" spans="1:13" ht="22.95" customHeight="1">
      <c r="A222" s="351" t="s">
        <v>4953</v>
      </c>
      <c r="B222" s="351">
        <v>4788</v>
      </c>
      <c r="C222" s="352" t="s">
        <v>526</v>
      </c>
      <c r="D222" s="352" t="str">
        <f t="shared" si="3"/>
        <v>淡水國家店1</v>
      </c>
      <c r="E222" s="351">
        <v>1</v>
      </c>
      <c r="F222" s="351" t="s">
        <v>4365</v>
      </c>
      <c r="G222" s="352" t="s">
        <v>4954</v>
      </c>
      <c r="H222" s="351" t="s">
        <v>4495</v>
      </c>
      <c r="I222" s="353" t="s">
        <v>4484</v>
      </c>
      <c r="J222" s="354" t="str">
        <f>VLOOKUP(B222,'[5]0919門市清單主檔'!B:V,21,FALSE)</f>
        <v>淡水區</v>
      </c>
      <c r="K222" s="355" t="s">
        <v>4485</v>
      </c>
      <c r="L222" s="351" t="s">
        <v>1749</v>
      </c>
      <c r="M222" s="354"/>
    </row>
    <row r="223" spans="1:13" ht="22.95" customHeight="1">
      <c r="A223" s="351" t="s">
        <v>4955</v>
      </c>
      <c r="B223" s="351">
        <v>4788</v>
      </c>
      <c r="C223" s="352" t="s">
        <v>526</v>
      </c>
      <c r="D223" s="352" t="str">
        <f t="shared" si="3"/>
        <v>淡水國家店2</v>
      </c>
      <c r="E223" s="351">
        <v>2</v>
      </c>
      <c r="F223" s="351" t="s">
        <v>4366</v>
      </c>
      <c r="G223" s="352" t="s">
        <v>4956</v>
      </c>
      <c r="H223" s="351" t="s">
        <v>4495</v>
      </c>
      <c r="I223" s="353" t="s">
        <v>4484</v>
      </c>
      <c r="J223" s="354" t="str">
        <f>VLOOKUP(B223,'[5]0919門市清單主檔'!B:V,21,FALSE)</f>
        <v>淡水區</v>
      </c>
      <c r="K223" s="355" t="s">
        <v>4485</v>
      </c>
      <c r="L223" s="351" t="s">
        <v>1749</v>
      </c>
      <c r="M223" s="354"/>
    </row>
    <row r="224" spans="1:13" ht="22.95" customHeight="1">
      <c r="A224" s="351" t="s">
        <v>4957</v>
      </c>
      <c r="B224" s="351">
        <v>4153</v>
      </c>
      <c r="C224" s="352" t="s">
        <v>318</v>
      </c>
      <c r="D224" s="352" t="str">
        <f t="shared" si="3"/>
        <v>淡水莊園店1</v>
      </c>
      <c r="E224" s="351">
        <v>1</v>
      </c>
      <c r="F224" s="351" t="s">
        <v>4360</v>
      </c>
      <c r="G224" s="352" t="s">
        <v>4958</v>
      </c>
      <c r="H224" s="351" t="s">
        <v>4488</v>
      </c>
      <c r="I224" s="353" t="s">
        <v>4490</v>
      </c>
      <c r="J224" s="354" t="str">
        <f>VLOOKUP(B224,'[5]0919門市清單主檔'!B:V,21,FALSE)</f>
        <v>淡水區</v>
      </c>
      <c r="K224" s="355" t="s">
        <v>4485</v>
      </c>
      <c r="L224" s="351" t="s">
        <v>1749</v>
      </c>
      <c r="M224" s="354"/>
    </row>
    <row r="225" spans="1:13" ht="22.95" customHeight="1">
      <c r="A225" s="351" t="s">
        <v>4959</v>
      </c>
      <c r="B225" s="351">
        <v>4153</v>
      </c>
      <c r="C225" s="352" t="s">
        <v>318</v>
      </c>
      <c r="D225" s="352" t="str">
        <f t="shared" si="3"/>
        <v>淡水莊園店2</v>
      </c>
      <c r="E225" s="351">
        <v>2</v>
      </c>
      <c r="F225" s="351" t="s">
        <v>4361</v>
      </c>
      <c r="G225" s="352" t="s">
        <v>4960</v>
      </c>
      <c r="H225" s="351" t="s">
        <v>4488</v>
      </c>
      <c r="I225" s="353" t="s">
        <v>4490</v>
      </c>
      <c r="J225" s="354" t="str">
        <f>VLOOKUP(B225,'[5]0919門市清單主檔'!B:V,21,FALSE)</f>
        <v>淡水區</v>
      </c>
      <c r="K225" s="355" t="s">
        <v>4485</v>
      </c>
      <c r="L225" s="351" t="s">
        <v>1749</v>
      </c>
      <c r="M225" s="354"/>
    </row>
    <row r="226" spans="1:13" ht="22.95" customHeight="1">
      <c r="A226" s="351" t="s">
        <v>4961</v>
      </c>
      <c r="B226" s="351">
        <v>4093</v>
      </c>
      <c r="C226" s="352" t="s">
        <v>1479</v>
      </c>
      <c r="D226" s="352" t="str">
        <f t="shared" si="3"/>
        <v>淡水新市一2</v>
      </c>
      <c r="E226" s="351">
        <v>2</v>
      </c>
      <c r="F226" s="351" t="s">
        <v>4359</v>
      </c>
      <c r="G226" s="352" t="s">
        <v>4962</v>
      </c>
      <c r="H226" s="351" t="s">
        <v>4495</v>
      </c>
      <c r="I226" s="353" t="s">
        <v>4484</v>
      </c>
      <c r="J226" s="354" t="str">
        <f>VLOOKUP(B226,'[5]0919門市清單主檔'!B:V,21,FALSE)</f>
        <v>淡水區</v>
      </c>
      <c r="K226" s="355" t="s">
        <v>4485</v>
      </c>
      <c r="L226" s="351" t="s">
        <v>1749</v>
      </c>
      <c r="M226" s="354"/>
    </row>
    <row r="227" spans="1:13" ht="22.95" customHeight="1">
      <c r="A227" s="351" t="s">
        <v>4963</v>
      </c>
      <c r="B227" s="351">
        <v>4529</v>
      </c>
      <c r="C227" s="352" t="s">
        <v>432</v>
      </c>
      <c r="D227" s="352" t="str">
        <f t="shared" si="3"/>
        <v>淡水新洲店1</v>
      </c>
      <c r="E227" s="351">
        <v>1</v>
      </c>
      <c r="F227" s="351" t="s">
        <v>4276</v>
      </c>
      <c r="G227" s="352" t="s">
        <v>4964</v>
      </c>
      <c r="H227" s="351" t="s">
        <v>4488</v>
      </c>
      <c r="I227" s="353" t="s">
        <v>4490</v>
      </c>
      <c r="J227" s="354" t="str">
        <f>VLOOKUP(B227,'[5]0919門市清單主檔'!B:V,21,FALSE)</f>
        <v>淡水區</v>
      </c>
      <c r="K227" s="355" t="s">
        <v>4485</v>
      </c>
      <c r="L227" s="351" t="s">
        <v>1749</v>
      </c>
      <c r="M227" s="354"/>
    </row>
    <row r="228" spans="1:13" ht="22.95" customHeight="1">
      <c r="A228" s="351" t="s">
        <v>4965</v>
      </c>
      <c r="B228" s="351">
        <v>4529</v>
      </c>
      <c r="C228" s="352" t="s">
        <v>432</v>
      </c>
      <c r="D228" s="352" t="str">
        <f t="shared" si="3"/>
        <v>淡水新洲店2</v>
      </c>
      <c r="E228" s="351">
        <v>2</v>
      </c>
      <c r="F228" s="351" t="s">
        <v>4277</v>
      </c>
      <c r="G228" s="352" t="s">
        <v>4966</v>
      </c>
      <c r="H228" s="351" t="s">
        <v>4488</v>
      </c>
      <c r="I228" s="353" t="s">
        <v>4490</v>
      </c>
      <c r="J228" s="354" t="str">
        <f>VLOOKUP(B228,'[5]0919門市清單主檔'!B:V,21,FALSE)</f>
        <v>淡水區</v>
      </c>
      <c r="K228" s="355" t="s">
        <v>4485</v>
      </c>
      <c r="L228" s="351" t="s">
        <v>1749</v>
      </c>
      <c r="M228" s="354"/>
    </row>
    <row r="229" spans="1:13" ht="22.95" customHeight="1">
      <c r="A229" s="351" t="s">
        <v>4967</v>
      </c>
      <c r="B229" s="351">
        <v>4739</v>
      </c>
      <c r="C229" s="352" t="s">
        <v>506</v>
      </c>
      <c r="D229" s="352" t="str">
        <f t="shared" si="3"/>
        <v>淡水櫻花店2</v>
      </c>
      <c r="E229" s="351">
        <v>2</v>
      </c>
      <c r="F229" s="351" t="s">
        <v>4362</v>
      </c>
      <c r="G229" s="352" t="s">
        <v>4968</v>
      </c>
      <c r="H229" s="351" t="s">
        <v>4495</v>
      </c>
      <c r="I229" s="353" t="s">
        <v>4484</v>
      </c>
      <c r="J229" s="354" t="str">
        <f>VLOOKUP(B229,'[5]0919門市清單主檔'!B:V,21,FALSE)</f>
        <v>淡水區</v>
      </c>
      <c r="K229" s="355" t="s">
        <v>4485</v>
      </c>
      <c r="L229" s="351" t="s">
        <v>1749</v>
      </c>
      <c r="M229" s="354"/>
    </row>
    <row r="230" spans="1:13" ht="22.95" customHeight="1">
      <c r="A230" s="351" t="s">
        <v>4493</v>
      </c>
      <c r="B230" s="351">
        <v>3851</v>
      </c>
      <c r="C230" s="352" t="s">
        <v>248</v>
      </c>
      <c r="D230" s="352" t="str">
        <f t="shared" si="3"/>
        <v>北縣輔園店1</v>
      </c>
      <c r="E230" s="351">
        <v>1</v>
      </c>
      <c r="F230" s="351" t="s">
        <v>4437</v>
      </c>
      <c r="G230" s="352" t="s">
        <v>4494</v>
      </c>
      <c r="H230" s="351" t="s">
        <v>4495</v>
      </c>
      <c r="I230" s="353" t="s">
        <v>4484</v>
      </c>
      <c r="J230" s="354" t="str">
        <f>VLOOKUP(B230,'[5]0919門市清單主檔'!B:V,21,FALSE)</f>
        <v>新莊區</v>
      </c>
      <c r="K230" s="355" t="s">
        <v>4485</v>
      </c>
      <c r="L230" s="351" t="s">
        <v>4046</v>
      </c>
      <c r="M230" s="354"/>
    </row>
    <row r="231" spans="1:13" ht="22.95" customHeight="1">
      <c r="A231" s="351" t="s">
        <v>4496</v>
      </c>
      <c r="B231" s="351">
        <v>3851</v>
      </c>
      <c r="C231" s="352" t="s">
        <v>248</v>
      </c>
      <c r="D231" s="352" t="str">
        <f t="shared" si="3"/>
        <v>北縣輔園店2</v>
      </c>
      <c r="E231" s="351">
        <v>2</v>
      </c>
      <c r="F231" s="351" t="s">
        <v>4438</v>
      </c>
      <c r="G231" s="352" t="s">
        <v>4497</v>
      </c>
      <c r="H231" s="351" t="s">
        <v>4495</v>
      </c>
      <c r="I231" s="353" t="s">
        <v>4484</v>
      </c>
      <c r="J231" s="354" t="str">
        <f>VLOOKUP(B231,'[5]0919門市清單主檔'!B:V,21,FALSE)</f>
        <v>新莊區</v>
      </c>
      <c r="K231" s="355" t="s">
        <v>4485</v>
      </c>
      <c r="L231" s="351" t="s">
        <v>4046</v>
      </c>
      <c r="M231" s="354"/>
    </row>
    <row r="232" spans="1:13" ht="22.95" customHeight="1">
      <c r="A232" s="351" t="s">
        <v>4511</v>
      </c>
      <c r="B232" s="351" t="s">
        <v>48</v>
      </c>
      <c r="C232" s="352" t="s">
        <v>746</v>
      </c>
      <c r="D232" s="352" t="str">
        <f t="shared" si="3"/>
        <v>田倉新樹店1</v>
      </c>
      <c r="E232" s="351">
        <v>1</v>
      </c>
      <c r="F232" s="351" t="s">
        <v>4287</v>
      </c>
      <c r="G232" s="352" t="s">
        <v>4512</v>
      </c>
      <c r="H232" s="351" t="s">
        <v>4495</v>
      </c>
      <c r="I232" s="353" t="s">
        <v>4500</v>
      </c>
      <c r="J232" s="354" t="str">
        <f>VLOOKUP(B232,'[5]0919門市清單主檔'!B:V,21,FALSE)</f>
        <v>新莊區</v>
      </c>
      <c r="K232" s="355" t="s">
        <v>4485</v>
      </c>
      <c r="L232" s="351" t="s">
        <v>1750</v>
      </c>
      <c r="M232" s="354"/>
    </row>
    <row r="233" spans="1:13" ht="22.95" customHeight="1">
      <c r="A233" s="351" t="s">
        <v>4821</v>
      </c>
      <c r="B233" s="351">
        <v>3652</v>
      </c>
      <c r="C233" s="352" t="s">
        <v>219</v>
      </c>
      <c r="D233" s="352" t="str">
        <f t="shared" si="3"/>
        <v>北縣莊民店1</v>
      </c>
      <c r="E233" s="351">
        <v>1</v>
      </c>
      <c r="F233" s="351" t="s">
        <v>4439</v>
      </c>
      <c r="G233" s="352" t="s">
        <v>4822</v>
      </c>
      <c r="H233" s="351" t="s">
        <v>4495</v>
      </c>
      <c r="I233" s="353" t="s">
        <v>4484</v>
      </c>
      <c r="J233" s="354" t="str">
        <f>VLOOKUP(B233,'[5]0919門市清單主檔'!B:V,21,FALSE)</f>
        <v>新莊區</v>
      </c>
      <c r="K233" s="355" t="s">
        <v>4485</v>
      </c>
      <c r="L233" s="351" t="s">
        <v>1749</v>
      </c>
      <c r="M233" s="354"/>
    </row>
    <row r="234" spans="1:13" ht="22.95" customHeight="1">
      <c r="A234" s="351" t="s">
        <v>4823</v>
      </c>
      <c r="B234" s="351">
        <v>3652</v>
      </c>
      <c r="C234" s="352" t="s">
        <v>219</v>
      </c>
      <c r="D234" s="352" t="str">
        <f t="shared" si="3"/>
        <v>北縣莊民店2</v>
      </c>
      <c r="E234" s="351">
        <v>2</v>
      </c>
      <c r="F234" s="351" t="s">
        <v>4440</v>
      </c>
      <c r="G234" s="352" t="s">
        <v>4824</v>
      </c>
      <c r="H234" s="351" t="s">
        <v>4495</v>
      </c>
      <c r="I234" s="353" t="s">
        <v>4484</v>
      </c>
      <c r="J234" s="354" t="str">
        <f>VLOOKUP(B234,'[5]0919門市清單主檔'!B:V,21,FALSE)</f>
        <v>新莊區</v>
      </c>
      <c r="K234" s="355" t="s">
        <v>4485</v>
      </c>
      <c r="L234" s="351" t="s">
        <v>1749</v>
      </c>
      <c r="M234" s="354"/>
    </row>
    <row r="235" spans="1:13" ht="22.95" customHeight="1">
      <c r="A235" s="351" t="s">
        <v>4825</v>
      </c>
      <c r="B235" s="351">
        <v>3052</v>
      </c>
      <c r="C235" s="352" t="s">
        <v>158</v>
      </c>
      <c r="D235" s="352" t="str">
        <f t="shared" si="3"/>
        <v>北縣莊玲店1</v>
      </c>
      <c r="E235" s="351">
        <v>1</v>
      </c>
      <c r="F235" s="351" t="s">
        <v>4184</v>
      </c>
      <c r="G235" s="352" t="s">
        <v>4826</v>
      </c>
      <c r="H235" s="351" t="s">
        <v>4483</v>
      </c>
      <c r="I235" s="353" t="s">
        <v>4484</v>
      </c>
      <c r="J235" s="354" t="str">
        <f>VLOOKUP(B235,'[5]0919門市清單主檔'!B:V,21,FALSE)</f>
        <v>新莊區</v>
      </c>
      <c r="K235" s="355" t="s">
        <v>4485</v>
      </c>
      <c r="L235" s="351" t="s">
        <v>1749</v>
      </c>
      <c r="M235" s="354"/>
    </row>
    <row r="236" spans="1:13" ht="22.95" customHeight="1">
      <c r="A236" s="351" t="s">
        <v>4827</v>
      </c>
      <c r="B236" s="351">
        <v>3052</v>
      </c>
      <c r="C236" s="352" t="s">
        <v>158</v>
      </c>
      <c r="D236" s="352" t="str">
        <f t="shared" si="3"/>
        <v>北縣莊玲店2</v>
      </c>
      <c r="E236" s="351">
        <v>2</v>
      </c>
      <c r="F236" s="351" t="s">
        <v>4185</v>
      </c>
      <c r="G236" s="352" t="s">
        <v>4828</v>
      </c>
      <c r="H236" s="351" t="s">
        <v>4483</v>
      </c>
      <c r="I236" s="353" t="s">
        <v>4484</v>
      </c>
      <c r="J236" s="354" t="str">
        <f>VLOOKUP(B236,'[5]0919門市清單主檔'!B:V,21,FALSE)</f>
        <v>新莊區</v>
      </c>
      <c r="K236" s="355" t="s">
        <v>4485</v>
      </c>
      <c r="L236" s="351" t="s">
        <v>1749</v>
      </c>
      <c r="M236" s="354"/>
    </row>
    <row r="237" spans="1:13" ht="22.95" customHeight="1">
      <c r="A237" s="351" t="s">
        <v>4829</v>
      </c>
      <c r="B237" s="351">
        <v>3380</v>
      </c>
      <c r="C237" s="352" t="s">
        <v>186</v>
      </c>
      <c r="D237" s="352" t="str">
        <f t="shared" si="3"/>
        <v>北縣莊勝店2</v>
      </c>
      <c r="E237" s="351">
        <v>2</v>
      </c>
      <c r="F237" s="351" t="s">
        <v>4186</v>
      </c>
      <c r="G237" s="352" t="s">
        <v>4830</v>
      </c>
      <c r="H237" s="351" t="s">
        <v>4483</v>
      </c>
      <c r="I237" s="353" t="s">
        <v>4484</v>
      </c>
      <c r="J237" s="354" t="str">
        <f>VLOOKUP(B237,'[5]0919門市清單主檔'!B:V,21,FALSE)</f>
        <v>新莊區</v>
      </c>
      <c r="K237" s="355" t="s">
        <v>4485</v>
      </c>
      <c r="L237" s="351" t="s">
        <v>1749</v>
      </c>
      <c r="M237" s="354"/>
    </row>
    <row r="238" spans="1:13" ht="22.95" customHeight="1">
      <c r="A238" s="351" t="s">
        <v>4840</v>
      </c>
      <c r="B238" s="351">
        <v>2109</v>
      </c>
      <c r="C238" s="352" t="s">
        <v>67</v>
      </c>
      <c r="D238" s="352" t="str">
        <f t="shared" si="3"/>
        <v>北縣瓊林南店1</v>
      </c>
      <c r="E238" s="351">
        <v>1</v>
      </c>
      <c r="F238" s="351" t="s">
        <v>4288</v>
      </c>
      <c r="G238" s="352" t="s">
        <v>4841</v>
      </c>
      <c r="H238" s="351" t="s">
        <v>4495</v>
      </c>
      <c r="I238" s="353" t="s">
        <v>4500</v>
      </c>
      <c r="J238" s="354" t="str">
        <f>VLOOKUP(B238,'[5]0919門市清單主檔'!B:V,21,FALSE)</f>
        <v>新莊區</v>
      </c>
      <c r="K238" s="355" t="s">
        <v>4485</v>
      </c>
      <c r="L238" s="351" t="s">
        <v>1749</v>
      </c>
      <c r="M238" s="354"/>
    </row>
    <row r="239" spans="1:13" ht="22.95" customHeight="1">
      <c r="A239" s="351" t="s">
        <v>4842</v>
      </c>
      <c r="B239" s="351">
        <v>2109</v>
      </c>
      <c r="C239" s="352" t="s">
        <v>67</v>
      </c>
      <c r="D239" s="352" t="str">
        <f t="shared" si="3"/>
        <v>北縣瓊林南店2</v>
      </c>
      <c r="E239" s="351">
        <v>2</v>
      </c>
      <c r="F239" s="351" t="s">
        <v>4289</v>
      </c>
      <c r="G239" s="352" t="s">
        <v>4843</v>
      </c>
      <c r="H239" s="351" t="s">
        <v>4495</v>
      </c>
      <c r="I239" s="353" t="s">
        <v>4500</v>
      </c>
      <c r="J239" s="354" t="str">
        <f>VLOOKUP(B239,'[5]0919門市清單主檔'!B:V,21,FALSE)</f>
        <v>新莊區</v>
      </c>
      <c r="K239" s="355" t="s">
        <v>4485</v>
      </c>
      <c r="L239" s="351" t="s">
        <v>1749</v>
      </c>
      <c r="M239" s="354"/>
    </row>
    <row r="240" spans="1:13" ht="22.95" customHeight="1">
      <c r="A240" s="351" t="s">
        <v>4969</v>
      </c>
      <c r="B240" s="351">
        <v>4856</v>
      </c>
      <c r="C240" s="352" t="s">
        <v>549</v>
      </c>
      <c r="D240" s="352" t="str">
        <f t="shared" si="3"/>
        <v>新莊小胖店2</v>
      </c>
      <c r="E240" s="351">
        <v>2</v>
      </c>
      <c r="F240" s="351" t="s">
        <v>4197</v>
      </c>
      <c r="G240" s="352" t="s">
        <v>4970</v>
      </c>
      <c r="H240" s="351" t="s">
        <v>4495</v>
      </c>
      <c r="I240" s="353" t="s">
        <v>4484</v>
      </c>
      <c r="J240" s="354" t="str">
        <f>VLOOKUP(B240,'[5]0919門市清單主檔'!B:V,21,FALSE)</f>
        <v>新莊區</v>
      </c>
      <c r="K240" s="355" t="s">
        <v>4485</v>
      </c>
      <c r="L240" s="351" t="s">
        <v>1749</v>
      </c>
      <c r="M240" s="354"/>
    </row>
    <row r="241" spans="1:13" ht="22.95" customHeight="1">
      <c r="A241" s="351" t="s">
        <v>4971</v>
      </c>
      <c r="B241" s="351">
        <v>4163</v>
      </c>
      <c r="C241" s="352" t="s">
        <v>322</v>
      </c>
      <c r="D241" s="352" t="str">
        <f t="shared" si="3"/>
        <v>新莊中泉店1</v>
      </c>
      <c r="E241" s="351">
        <v>1</v>
      </c>
      <c r="F241" s="351" t="s">
        <v>4225</v>
      </c>
      <c r="G241" s="352" t="s">
        <v>4972</v>
      </c>
      <c r="H241" s="351" t="s">
        <v>4483</v>
      </c>
      <c r="I241" s="353" t="s">
        <v>4484</v>
      </c>
      <c r="J241" s="354" t="str">
        <f>VLOOKUP(B241,'[5]0919門市清單主檔'!B:V,21,FALSE)</f>
        <v>新莊區</v>
      </c>
      <c r="K241" s="355" t="s">
        <v>4485</v>
      </c>
      <c r="L241" s="351" t="s">
        <v>1749</v>
      </c>
      <c r="M241" s="354"/>
    </row>
    <row r="242" spans="1:13" ht="22.95" customHeight="1">
      <c r="A242" s="351" t="s">
        <v>4973</v>
      </c>
      <c r="B242" s="351">
        <v>4163</v>
      </c>
      <c r="C242" s="352" t="s">
        <v>322</v>
      </c>
      <c r="D242" s="352" t="str">
        <f t="shared" si="3"/>
        <v>新莊中泉店2</v>
      </c>
      <c r="E242" s="351">
        <v>2</v>
      </c>
      <c r="F242" s="351" t="s">
        <v>4226</v>
      </c>
      <c r="G242" s="352" t="s">
        <v>4974</v>
      </c>
      <c r="H242" s="351" t="s">
        <v>4483</v>
      </c>
      <c r="I242" s="353" t="s">
        <v>4484</v>
      </c>
      <c r="J242" s="354" t="str">
        <f>VLOOKUP(B242,'[5]0919門市清單主檔'!B:V,21,FALSE)</f>
        <v>新莊區</v>
      </c>
      <c r="K242" s="355" t="s">
        <v>4485</v>
      </c>
      <c r="L242" s="351" t="s">
        <v>1749</v>
      </c>
      <c r="M242" s="354"/>
    </row>
    <row r="243" spans="1:13" ht="22.95" customHeight="1">
      <c r="A243" s="351" t="s">
        <v>4975</v>
      </c>
      <c r="B243" s="351">
        <v>5057</v>
      </c>
      <c r="C243" s="352" t="s">
        <v>583</v>
      </c>
      <c r="D243" s="352" t="str">
        <f t="shared" si="3"/>
        <v>新莊中港店1</v>
      </c>
      <c r="E243" s="351">
        <v>1</v>
      </c>
      <c r="F243" s="351" t="s">
        <v>4441</v>
      </c>
      <c r="G243" s="352" t="s">
        <v>4976</v>
      </c>
      <c r="H243" s="351" t="s">
        <v>4488</v>
      </c>
      <c r="I243" s="353" t="s">
        <v>4500</v>
      </c>
      <c r="J243" s="354" t="str">
        <f>VLOOKUP(B243,'[5]0919門市清單主檔'!B:V,21,FALSE)</f>
        <v>新莊區</v>
      </c>
      <c r="K243" s="355" t="s">
        <v>4485</v>
      </c>
      <c r="L243" s="351" t="s">
        <v>1749</v>
      </c>
      <c r="M243" s="354"/>
    </row>
    <row r="244" spans="1:13" ht="22.95" customHeight="1">
      <c r="A244" s="351" t="s">
        <v>4977</v>
      </c>
      <c r="B244" s="351">
        <v>5057</v>
      </c>
      <c r="C244" s="352" t="s">
        <v>583</v>
      </c>
      <c r="D244" s="352" t="str">
        <f t="shared" si="3"/>
        <v>新莊中港店2</v>
      </c>
      <c r="E244" s="351">
        <v>2</v>
      </c>
      <c r="F244" s="351" t="s">
        <v>4442</v>
      </c>
      <c r="G244" s="352" t="s">
        <v>4978</v>
      </c>
      <c r="H244" s="351" t="s">
        <v>4483</v>
      </c>
      <c r="I244" s="353" t="s">
        <v>4597</v>
      </c>
      <c r="J244" s="354" t="str">
        <f>VLOOKUP(B244,'[5]0919門市清單主檔'!B:V,21,FALSE)</f>
        <v>新莊區</v>
      </c>
      <c r="K244" s="355" t="s">
        <v>4485</v>
      </c>
      <c r="L244" s="351" t="s">
        <v>1749</v>
      </c>
      <c r="M244" s="354"/>
    </row>
    <row r="245" spans="1:13" ht="22.95" customHeight="1">
      <c r="A245" s="351" t="s">
        <v>4979</v>
      </c>
      <c r="B245" s="351">
        <v>2362</v>
      </c>
      <c r="C245" s="352" t="s">
        <v>97</v>
      </c>
      <c r="D245" s="352" t="str">
        <f t="shared" si="3"/>
        <v>新莊化成店1</v>
      </c>
      <c r="E245" s="351">
        <v>1</v>
      </c>
      <c r="F245" s="351" t="s">
        <v>4443</v>
      </c>
      <c r="G245" s="352" t="s">
        <v>4980</v>
      </c>
      <c r="H245" s="351" t="s">
        <v>4483</v>
      </c>
      <c r="I245" s="353" t="s">
        <v>4484</v>
      </c>
      <c r="J245" s="354" t="str">
        <f>VLOOKUP(B245,'[5]0919門市清單主檔'!B:V,21,FALSE)</f>
        <v>新莊區</v>
      </c>
      <c r="K245" s="355" t="s">
        <v>4485</v>
      </c>
      <c r="L245" s="351" t="s">
        <v>1749</v>
      </c>
      <c r="M245" s="354"/>
    </row>
    <row r="246" spans="1:13" ht="22.95" customHeight="1">
      <c r="A246" s="351" t="s">
        <v>4981</v>
      </c>
      <c r="B246" s="351">
        <v>2362</v>
      </c>
      <c r="C246" s="352" t="s">
        <v>97</v>
      </c>
      <c r="D246" s="352" t="str">
        <f t="shared" si="3"/>
        <v>新莊化成店2</v>
      </c>
      <c r="E246" s="351">
        <v>2</v>
      </c>
      <c r="F246" s="351" t="s">
        <v>4444</v>
      </c>
      <c r="G246" s="352" t="s">
        <v>4982</v>
      </c>
      <c r="H246" s="351" t="s">
        <v>4483</v>
      </c>
      <c r="I246" s="353" t="s">
        <v>4484</v>
      </c>
      <c r="J246" s="354" t="str">
        <f>VLOOKUP(B246,'[5]0919門市清單主檔'!B:V,21,FALSE)</f>
        <v>新莊區</v>
      </c>
      <c r="K246" s="355" t="s">
        <v>4485</v>
      </c>
      <c r="L246" s="351" t="s">
        <v>1749</v>
      </c>
      <c r="M246" s="354"/>
    </row>
    <row r="247" spans="1:13" ht="22.95" customHeight="1">
      <c r="A247" s="351" t="s">
        <v>4983</v>
      </c>
      <c r="B247" s="351">
        <v>4025</v>
      </c>
      <c r="C247" s="352" t="s">
        <v>296</v>
      </c>
      <c r="D247" s="352" t="str">
        <f t="shared" si="3"/>
        <v>新莊祐信店1</v>
      </c>
      <c r="E247" s="351">
        <v>1</v>
      </c>
      <c r="F247" s="351" t="s">
        <v>4445</v>
      </c>
      <c r="G247" s="352" t="s">
        <v>4984</v>
      </c>
      <c r="H247" s="351" t="s">
        <v>4495</v>
      </c>
      <c r="I247" s="353" t="s">
        <v>4484</v>
      </c>
      <c r="J247" s="354" t="str">
        <f>VLOOKUP(B247,'[5]0919門市清單主檔'!B:V,21,FALSE)</f>
        <v>新莊區</v>
      </c>
      <c r="K247" s="355" t="s">
        <v>4485</v>
      </c>
      <c r="L247" s="351" t="s">
        <v>1749</v>
      </c>
      <c r="M247" s="354"/>
    </row>
    <row r="248" spans="1:13" ht="22.95" customHeight="1">
      <c r="A248" s="351" t="s">
        <v>4985</v>
      </c>
      <c r="B248" s="351">
        <v>4025</v>
      </c>
      <c r="C248" s="352" t="s">
        <v>296</v>
      </c>
      <c r="D248" s="352" t="str">
        <f t="shared" si="3"/>
        <v>新莊祐信店2</v>
      </c>
      <c r="E248" s="351">
        <v>2</v>
      </c>
      <c r="F248" s="351" t="s">
        <v>4446</v>
      </c>
      <c r="G248" s="352" t="s">
        <v>4986</v>
      </c>
      <c r="H248" s="351" t="s">
        <v>4495</v>
      </c>
      <c r="I248" s="353" t="s">
        <v>4484</v>
      </c>
      <c r="J248" s="354" t="str">
        <f>VLOOKUP(B248,'[5]0919門市清單主檔'!B:V,21,FALSE)</f>
        <v>新莊區</v>
      </c>
      <c r="K248" s="355" t="s">
        <v>4485</v>
      </c>
      <c r="L248" s="351" t="s">
        <v>1749</v>
      </c>
      <c r="M248" s="354"/>
    </row>
    <row r="249" spans="1:13" ht="22.95" customHeight="1">
      <c r="A249" s="351" t="s">
        <v>4987</v>
      </c>
      <c r="B249" s="351">
        <v>4341</v>
      </c>
      <c r="C249" s="352" t="s">
        <v>371</v>
      </c>
      <c r="D249" s="352" t="str">
        <f t="shared" si="3"/>
        <v>新莊莊美店1</v>
      </c>
      <c r="E249" s="351">
        <v>1</v>
      </c>
      <c r="F249" s="351" t="s">
        <v>4434</v>
      </c>
      <c r="G249" s="352" t="s">
        <v>4988</v>
      </c>
      <c r="H249" s="351" t="s">
        <v>4488</v>
      </c>
      <c r="I249" s="353" t="s">
        <v>4484</v>
      </c>
      <c r="J249" s="354" t="str">
        <f>VLOOKUP(B249,'[5]0919門市清單主檔'!B:V,21,FALSE)</f>
        <v>新莊區</v>
      </c>
      <c r="K249" s="355" t="s">
        <v>4485</v>
      </c>
      <c r="L249" s="351" t="s">
        <v>1749</v>
      </c>
      <c r="M249" s="354"/>
    </row>
    <row r="250" spans="1:13" ht="22.95" customHeight="1">
      <c r="A250" s="351" t="s">
        <v>4989</v>
      </c>
      <c r="B250" s="351">
        <v>4341</v>
      </c>
      <c r="C250" s="352" t="s">
        <v>371</v>
      </c>
      <c r="D250" s="352" t="str">
        <f t="shared" si="3"/>
        <v>新莊莊美店2</v>
      </c>
      <c r="E250" s="351">
        <v>2</v>
      </c>
      <c r="F250" s="351" t="s">
        <v>4435</v>
      </c>
      <c r="G250" s="352" t="s">
        <v>4990</v>
      </c>
      <c r="H250" s="351" t="s">
        <v>4488</v>
      </c>
      <c r="I250" s="353" t="s">
        <v>4484</v>
      </c>
      <c r="J250" s="354" t="str">
        <f>VLOOKUP(B250,'[5]0919門市清單主檔'!B:V,21,FALSE)</f>
        <v>新莊區</v>
      </c>
      <c r="K250" s="355" t="s">
        <v>4485</v>
      </c>
      <c r="L250" s="351" t="s">
        <v>1749</v>
      </c>
      <c r="M250" s="354"/>
    </row>
    <row r="251" spans="1:13" ht="22.95" customHeight="1">
      <c r="A251" s="351" t="s">
        <v>4991</v>
      </c>
      <c r="B251" s="351" t="s">
        <v>44</v>
      </c>
      <c r="C251" s="352" t="s">
        <v>644</v>
      </c>
      <c r="D251" s="352" t="str">
        <f t="shared" si="3"/>
        <v>新莊裕民店1</v>
      </c>
      <c r="E251" s="351">
        <v>1</v>
      </c>
      <c r="F251" s="351" t="s">
        <v>4180</v>
      </c>
      <c r="G251" s="352" t="s">
        <v>4992</v>
      </c>
      <c r="H251" s="351" t="s">
        <v>4495</v>
      </c>
      <c r="I251" s="353" t="s">
        <v>4484</v>
      </c>
      <c r="J251" s="354" t="str">
        <f>VLOOKUP(B251,'[5]0919門市清單主檔'!B:V,21,FALSE)</f>
        <v>新莊區</v>
      </c>
      <c r="K251" s="355" t="s">
        <v>4485</v>
      </c>
      <c r="L251" s="351" t="s">
        <v>1749</v>
      </c>
      <c r="M251" s="354"/>
    </row>
    <row r="252" spans="1:13" ht="22.95" customHeight="1">
      <c r="A252" s="351" t="s">
        <v>4993</v>
      </c>
      <c r="B252" s="351">
        <v>4194</v>
      </c>
      <c r="C252" s="352" t="s">
        <v>330</v>
      </c>
      <c r="D252" s="352" t="str">
        <f t="shared" si="3"/>
        <v>新莊鼎苑店1</v>
      </c>
      <c r="E252" s="351">
        <v>1</v>
      </c>
      <c r="F252" s="351" t="s">
        <v>4304</v>
      </c>
      <c r="G252" s="352" t="s">
        <v>4994</v>
      </c>
      <c r="H252" s="351" t="s">
        <v>4495</v>
      </c>
      <c r="I252" s="353" t="s">
        <v>4484</v>
      </c>
      <c r="J252" s="354" t="str">
        <f>VLOOKUP(B252,'[5]0919門市清單主檔'!B:V,21,FALSE)</f>
        <v>新莊區</v>
      </c>
      <c r="K252" s="355" t="s">
        <v>4485</v>
      </c>
      <c r="L252" s="351" t="s">
        <v>1749</v>
      </c>
      <c r="M252" s="354"/>
    </row>
    <row r="253" spans="1:13" ht="22.95" customHeight="1">
      <c r="A253" s="351" t="s">
        <v>4995</v>
      </c>
      <c r="B253" s="351">
        <v>4194</v>
      </c>
      <c r="C253" s="352" t="s">
        <v>330</v>
      </c>
      <c r="D253" s="352" t="str">
        <f t="shared" si="3"/>
        <v>新莊鼎苑店2</v>
      </c>
      <c r="E253" s="351">
        <v>2</v>
      </c>
      <c r="F253" s="351" t="s">
        <v>4305</v>
      </c>
      <c r="G253" s="352" t="s">
        <v>4996</v>
      </c>
      <c r="H253" s="351" t="s">
        <v>4495</v>
      </c>
      <c r="I253" s="353" t="s">
        <v>4484</v>
      </c>
      <c r="J253" s="354" t="str">
        <f>VLOOKUP(B253,'[5]0919門市清單主檔'!B:V,21,FALSE)</f>
        <v>新莊區</v>
      </c>
      <c r="K253" s="355" t="s">
        <v>4485</v>
      </c>
      <c r="L253" s="351" t="s">
        <v>1749</v>
      </c>
      <c r="M253" s="354"/>
    </row>
    <row r="254" spans="1:13" ht="22.95" customHeight="1">
      <c r="A254" s="351" t="s">
        <v>4997</v>
      </c>
      <c r="B254" s="351">
        <v>3999</v>
      </c>
      <c r="C254" s="352" t="s">
        <v>286</v>
      </c>
      <c r="D254" s="352" t="str">
        <f t="shared" si="3"/>
        <v>新莊福祐店2</v>
      </c>
      <c r="E254" s="351">
        <v>2</v>
      </c>
      <c r="F254" s="351" t="s">
        <v>4436</v>
      </c>
      <c r="G254" s="352" t="s">
        <v>4489</v>
      </c>
      <c r="H254" s="351" t="s">
        <v>4495</v>
      </c>
      <c r="I254" s="353" t="s">
        <v>4484</v>
      </c>
      <c r="J254" s="354" t="str">
        <f>VLOOKUP(B254,'[5]0919門市清單主檔'!B:V,21,FALSE)</f>
        <v>新莊區</v>
      </c>
      <c r="K254" s="355" t="s">
        <v>4485</v>
      </c>
      <c r="L254" s="351" t="s">
        <v>1749</v>
      </c>
      <c r="M254" s="354"/>
    </row>
    <row r="255" spans="1:13" ht="22.95" customHeight="1">
      <c r="A255" s="351" t="s">
        <v>4998</v>
      </c>
      <c r="B255" s="351">
        <v>4552</v>
      </c>
      <c r="C255" s="352" t="s">
        <v>438</v>
      </c>
      <c r="D255" s="352" t="str">
        <f t="shared" si="3"/>
        <v>新莊福慧店1</v>
      </c>
      <c r="E255" s="351">
        <v>1</v>
      </c>
      <c r="F255" s="351" t="s">
        <v>4433</v>
      </c>
      <c r="G255" s="352" t="s">
        <v>4999</v>
      </c>
      <c r="H255" s="351" t="s">
        <v>4488</v>
      </c>
      <c r="I255" s="353" t="s">
        <v>4500</v>
      </c>
      <c r="J255" s="354" t="str">
        <f>VLOOKUP(B255,'[5]0919門市清單主檔'!B:V,21,FALSE)</f>
        <v>新莊區</v>
      </c>
      <c r="K255" s="355" t="s">
        <v>4485</v>
      </c>
      <c r="L255" s="351" t="s">
        <v>1749</v>
      </c>
      <c r="M255" s="354"/>
    </row>
    <row r="256" spans="1:13" ht="22.95" customHeight="1">
      <c r="A256" s="351" t="s">
        <v>5000</v>
      </c>
      <c r="B256" s="351" t="s">
        <v>45</v>
      </c>
      <c r="C256" s="352" t="s">
        <v>642</v>
      </c>
      <c r="D256" s="352" t="str">
        <f t="shared" si="3"/>
        <v>新莊福營店1</v>
      </c>
      <c r="E256" s="351">
        <v>1</v>
      </c>
      <c r="F256" s="351" t="s">
        <v>4212</v>
      </c>
      <c r="G256" s="352" t="s">
        <v>5001</v>
      </c>
      <c r="H256" s="351" t="s">
        <v>4495</v>
      </c>
      <c r="I256" s="353" t="s">
        <v>4484</v>
      </c>
      <c r="J256" s="354" t="str">
        <f>VLOOKUP(B256,'[5]0919門市清單主檔'!B:V,21,FALSE)</f>
        <v>新莊區</v>
      </c>
      <c r="K256" s="355" t="s">
        <v>4485</v>
      </c>
      <c r="L256" s="351" t="s">
        <v>1749</v>
      </c>
      <c r="M256" s="354"/>
    </row>
    <row r="257" spans="1:13" ht="22.95" customHeight="1">
      <c r="A257" s="351" t="s">
        <v>5002</v>
      </c>
      <c r="B257" s="351" t="s">
        <v>45</v>
      </c>
      <c r="C257" s="352" t="s">
        <v>642</v>
      </c>
      <c r="D257" s="352" t="str">
        <f t="shared" si="3"/>
        <v>新莊福營店2</v>
      </c>
      <c r="E257" s="351">
        <v>2</v>
      </c>
      <c r="F257" s="351" t="s">
        <v>4213</v>
      </c>
      <c r="G257" s="352" t="s">
        <v>5003</v>
      </c>
      <c r="H257" s="351" t="s">
        <v>4495</v>
      </c>
      <c r="I257" s="353" t="s">
        <v>4484</v>
      </c>
      <c r="J257" s="354" t="str">
        <f>VLOOKUP(B257,'[5]0919門市清單主檔'!B:V,21,FALSE)</f>
        <v>新莊區</v>
      </c>
      <c r="K257" s="355" t="s">
        <v>4485</v>
      </c>
      <c r="L257" s="351" t="s">
        <v>1749</v>
      </c>
      <c r="M257" s="354"/>
    </row>
    <row r="258" spans="1:13" ht="22.95" customHeight="1">
      <c r="A258" s="351" t="s">
        <v>5004</v>
      </c>
      <c r="B258" s="351">
        <v>4228</v>
      </c>
      <c r="C258" s="352" t="s">
        <v>1561</v>
      </c>
      <c r="D258" s="352" t="str">
        <f t="shared" ref="D258:D282" si="4">C258&amp;E258</f>
        <v>新莊頭前公園1</v>
      </c>
      <c r="E258" s="351">
        <v>1</v>
      </c>
      <c r="F258" s="351" t="s">
        <v>4447</v>
      </c>
      <c r="G258" s="352" t="s">
        <v>5005</v>
      </c>
      <c r="H258" s="351" t="s">
        <v>4495</v>
      </c>
      <c r="I258" s="353" t="s">
        <v>4484</v>
      </c>
      <c r="J258" s="354" t="str">
        <f>VLOOKUP(B258,'[5]0919門市清單主檔'!B:V,21,FALSE)</f>
        <v>新莊區</v>
      </c>
      <c r="K258" s="355" t="s">
        <v>4485</v>
      </c>
      <c r="L258" s="351" t="s">
        <v>1749</v>
      </c>
      <c r="M258" s="354"/>
    </row>
    <row r="259" spans="1:13" ht="22.95" customHeight="1">
      <c r="A259" s="351" t="s">
        <v>5006</v>
      </c>
      <c r="B259" s="351">
        <v>4228</v>
      </c>
      <c r="C259" s="352" t="s">
        <v>1561</v>
      </c>
      <c r="D259" s="352" t="str">
        <f t="shared" si="4"/>
        <v>新莊頭前公園2</v>
      </c>
      <c r="E259" s="351">
        <v>2</v>
      </c>
      <c r="F259" s="351" t="s">
        <v>4448</v>
      </c>
      <c r="G259" s="352" t="s">
        <v>5007</v>
      </c>
      <c r="H259" s="351" t="s">
        <v>4495</v>
      </c>
      <c r="I259" s="353" t="s">
        <v>4484</v>
      </c>
      <c r="J259" s="354" t="str">
        <f>VLOOKUP(B259,'[5]0919門市清單主檔'!B:V,21,FALSE)</f>
        <v>新莊區</v>
      </c>
      <c r="K259" s="355" t="s">
        <v>4485</v>
      </c>
      <c r="L259" s="351" t="s">
        <v>1749</v>
      </c>
      <c r="M259" s="354"/>
    </row>
    <row r="260" spans="1:13" ht="22.95" customHeight="1">
      <c r="A260" s="351" t="s">
        <v>5008</v>
      </c>
      <c r="B260" s="351">
        <v>4144</v>
      </c>
      <c r="C260" s="352" t="s">
        <v>316</v>
      </c>
      <c r="D260" s="352" t="str">
        <f t="shared" si="4"/>
        <v>新莊頭前店1</v>
      </c>
      <c r="E260" s="351">
        <v>1</v>
      </c>
      <c r="F260" s="351" t="s">
        <v>4267</v>
      </c>
      <c r="G260" s="352" t="s">
        <v>5009</v>
      </c>
      <c r="H260" s="351" t="s">
        <v>4483</v>
      </c>
      <c r="I260" s="353" t="s">
        <v>4484</v>
      </c>
      <c r="J260" s="354" t="str">
        <f>VLOOKUP(B260,'[5]0919門市清單主檔'!B:V,21,FALSE)</f>
        <v>新莊區</v>
      </c>
      <c r="K260" s="355" t="s">
        <v>4485</v>
      </c>
      <c r="L260" s="351" t="s">
        <v>1749</v>
      </c>
      <c r="M260" s="354"/>
    </row>
    <row r="261" spans="1:13" ht="22.95" customHeight="1">
      <c r="A261" s="351" t="s">
        <v>5010</v>
      </c>
      <c r="B261" s="351">
        <v>4144</v>
      </c>
      <c r="C261" s="352" t="s">
        <v>316</v>
      </c>
      <c r="D261" s="352" t="str">
        <f t="shared" si="4"/>
        <v>新莊頭前店2</v>
      </c>
      <c r="E261" s="351">
        <v>2</v>
      </c>
      <c r="F261" s="351" t="s">
        <v>4268</v>
      </c>
      <c r="G261" s="352" t="s">
        <v>5011</v>
      </c>
      <c r="H261" s="351" t="s">
        <v>4483</v>
      </c>
      <c r="I261" s="353" t="s">
        <v>4484</v>
      </c>
      <c r="J261" s="354" t="str">
        <f>VLOOKUP(B261,'[5]0919門市清單主檔'!B:V,21,FALSE)</f>
        <v>新莊區</v>
      </c>
      <c r="K261" s="355" t="s">
        <v>4485</v>
      </c>
      <c r="L261" s="351" t="s">
        <v>1749</v>
      </c>
      <c r="M261" s="354"/>
    </row>
    <row r="262" spans="1:13" ht="22.95" customHeight="1">
      <c r="A262" s="351" t="s">
        <v>5012</v>
      </c>
      <c r="B262" s="351">
        <v>2743</v>
      </c>
      <c r="C262" s="352" t="s">
        <v>130</v>
      </c>
      <c r="D262" s="352" t="str">
        <f t="shared" si="4"/>
        <v>新莊豐年店2</v>
      </c>
      <c r="E262" s="351">
        <v>2</v>
      </c>
      <c r="F262" s="351" t="s">
        <v>4293</v>
      </c>
      <c r="G262" s="352" t="s">
        <v>5013</v>
      </c>
      <c r="H262" s="351" t="s">
        <v>4483</v>
      </c>
      <c r="I262" s="353" t="s">
        <v>4490</v>
      </c>
      <c r="J262" s="354" t="str">
        <f>VLOOKUP(B262,'[5]0919門市清單主檔'!B:V,21,FALSE)</f>
        <v>新莊區</v>
      </c>
      <c r="K262" s="355" t="s">
        <v>4485</v>
      </c>
      <c r="L262" s="351" t="s">
        <v>1749</v>
      </c>
      <c r="M262" s="354"/>
    </row>
    <row r="263" spans="1:13" ht="22.95" customHeight="1">
      <c r="A263" s="351" t="s">
        <v>5014</v>
      </c>
      <c r="B263" s="351">
        <v>4005</v>
      </c>
      <c r="C263" s="352" t="s">
        <v>288</v>
      </c>
      <c r="D263" s="352" t="str">
        <f t="shared" si="4"/>
        <v>新莊雙鳳店1</v>
      </c>
      <c r="E263" s="351">
        <v>1</v>
      </c>
      <c r="F263" s="351" t="s">
        <v>4255</v>
      </c>
      <c r="G263" s="352" t="s">
        <v>5015</v>
      </c>
      <c r="H263" s="351" t="s">
        <v>4488</v>
      </c>
      <c r="I263" s="353" t="s">
        <v>4484</v>
      </c>
      <c r="J263" s="354" t="str">
        <f>VLOOKUP(B263,'[5]0919門市清單主檔'!B:V,21,FALSE)</f>
        <v>新莊區</v>
      </c>
      <c r="K263" s="355" t="s">
        <v>4485</v>
      </c>
      <c r="L263" s="351" t="s">
        <v>1749</v>
      </c>
      <c r="M263" s="354"/>
    </row>
    <row r="264" spans="1:13" ht="22.95" customHeight="1">
      <c r="A264" s="351" t="s">
        <v>5016</v>
      </c>
      <c r="B264" s="351">
        <v>4005</v>
      </c>
      <c r="C264" s="352" t="s">
        <v>288</v>
      </c>
      <c r="D264" s="352" t="str">
        <f t="shared" si="4"/>
        <v>新莊雙鳳店2</v>
      </c>
      <c r="E264" s="351">
        <v>2</v>
      </c>
      <c r="F264" s="351" t="s">
        <v>4256</v>
      </c>
      <c r="G264" s="352" t="s">
        <v>5017</v>
      </c>
      <c r="H264" s="351" t="s">
        <v>4495</v>
      </c>
      <c r="I264" s="353" t="s">
        <v>4484</v>
      </c>
      <c r="J264" s="354" t="str">
        <f>VLOOKUP(B264,'[5]0919門市清單主檔'!B:V,21,FALSE)</f>
        <v>新莊區</v>
      </c>
      <c r="K264" s="355" t="s">
        <v>4485</v>
      </c>
      <c r="L264" s="351" t="s">
        <v>1749</v>
      </c>
      <c r="M264" s="354"/>
    </row>
    <row r="265" spans="1:13" ht="22.95" customHeight="1">
      <c r="A265" s="351" t="s">
        <v>4844</v>
      </c>
      <c r="B265" s="351">
        <v>2958</v>
      </c>
      <c r="C265" s="352" t="s">
        <v>152</v>
      </c>
      <c r="D265" s="352" t="str">
        <f t="shared" si="4"/>
        <v>北縣蘆旺店1</v>
      </c>
      <c r="E265" s="351">
        <v>1</v>
      </c>
      <c r="F265" s="351" t="s">
        <v>4372</v>
      </c>
      <c r="G265" s="352" t="s">
        <v>4845</v>
      </c>
      <c r="H265" s="351" t="s">
        <v>4483</v>
      </c>
      <c r="I265" s="353" t="s">
        <v>4484</v>
      </c>
      <c r="J265" s="354" t="str">
        <f>VLOOKUP(B265,'[5]0919門市清單主檔'!B:V,21,FALSE)</f>
        <v>蘆洲區</v>
      </c>
      <c r="K265" s="355" t="s">
        <v>4485</v>
      </c>
      <c r="L265" s="351" t="s">
        <v>1749</v>
      </c>
      <c r="M265" s="354"/>
    </row>
    <row r="266" spans="1:13" ht="22.95" customHeight="1">
      <c r="A266" s="351" t="s">
        <v>4846</v>
      </c>
      <c r="B266" s="351">
        <v>2958</v>
      </c>
      <c r="C266" s="352" t="s">
        <v>152</v>
      </c>
      <c r="D266" s="352" t="str">
        <f t="shared" si="4"/>
        <v>北縣蘆旺店2</v>
      </c>
      <c r="E266" s="351">
        <v>2</v>
      </c>
      <c r="F266" s="351" t="s">
        <v>4373</v>
      </c>
      <c r="G266" s="352" t="s">
        <v>4847</v>
      </c>
      <c r="H266" s="351" t="s">
        <v>4483</v>
      </c>
      <c r="I266" s="353" t="s">
        <v>4484</v>
      </c>
      <c r="J266" s="354" t="str">
        <f>VLOOKUP(B266,'[5]0919門市清單主檔'!B:V,21,FALSE)</f>
        <v>蘆洲區</v>
      </c>
      <c r="K266" s="355" t="s">
        <v>4485</v>
      </c>
      <c r="L266" s="351" t="s">
        <v>1749</v>
      </c>
      <c r="M266" s="354"/>
    </row>
    <row r="267" spans="1:13" ht="22.95" customHeight="1">
      <c r="A267" s="351" t="s">
        <v>4848</v>
      </c>
      <c r="B267" s="351">
        <v>3452</v>
      </c>
      <c r="C267" s="352" t="s">
        <v>192</v>
      </c>
      <c r="D267" s="352" t="str">
        <f t="shared" si="4"/>
        <v>北縣蘆信店1</v>
      </c>
      <c r="E267" s="351">
        <v>1</v>
      </c>
      <c r="F267" s="351" t="s">
        <v>4369</v>
      </c>
      <c r="G267" s="352" t="s">
        <v>4849</v>
      </c>
      <c r="H267" s="351" t="s">
        <v>4483</v>
      </c>
      <c r="I267" s="353" t="s">
        <v>4484</v>
      </c>
      <c r="J267" s="354" t="str">
        <f>VLOOKUP(B267,'[5]0919門市清單主檔'!B:V,21,FALSE)</f>
        <v>蘆洲區</v>
      </c>
      <c r="K267" s="355" t="s">
        <v>4485</v>
      </c>
      <c r="L267" s="351" t="s">
        <v>1749</v>
      </c>
      <c r="M267" s="354"/>
    </row>
    <row r="268" spans="1:13" ht="22.95" customHeight="1">
      <c r="A268" s="351" t="s">
        <v>4850</v>
      </c>
      <c r="B268" s="351">
        <v>3452</v>
      </c>
      <c r="C268" s="352" t="s">
        <v>192</v>
      </c>
      <c r="D268" s="352" t="str">
        <f t="shared" si="4"/>
        <v>北縣蘆信店2</v>
      </c>
      <c r="E268" s="351">
        <v>2</v>
      </c>
      <c r="F268" s="351" t="s">
        <v>4370</v>
      </c>
      <c r="G268" s="352" t="s">
        <v>4851</v>
      </c>
      <c r="H268" s="351" t="s">
        <v>4483</v>
      </c>
      <c r="I268" s="353" t="s">
        <v>4484</v>
      </c>
      <c r="J268" s="354" t="str">
        <f>VLOOKUP(B268,'[5]0919門市清單主檔'!B:V,21,FALSE)</f>
        <v>蘆洲區</v>
      </c>
      <c r="K268" s="355" t="s">
        <v>4485</v>
      </c>
      <c r="L268" s="351" t="s">
        <v>1749</v>
      </c>
      <c r="M268" s="354"/>
    </row>
    <row r="269" spans="1:13" ht="22.95" customHeight="1">
      <c r="A269" s="351" t="s">
        <v>5018</v>
      </c>
      <c r="B269" s="351">
        <v>3929</v>
      </c>
      <c r="C269" s="352" t="s">
        <v>1531</v>
      </c>
      <c r="D269" s="352" t="str">
        <f t="shared" si="4"/>
        <v>蘆洲中山一1</v>
      </c>
      <c r="E269" s="351">
        <v>1</v>
      </c>
      <c r="F269" s="351" t="s">
        <v>4371</v>
      </c>
      <c r="G269" s="352" t="s">
        <v>5019</v>
      </c>
      <c r="H269" s="351" t="s">
        <v>4495</v>
      </c>
      <c r="I269" s="353" t="s">
        <v>4484</v>
      </c>
      <c r="J269" s="354" t="str">
        <f>VLOOKUP(B269,'[5]0919門市清單主檔'!B:V,21,FALSE)</f>
        <v>蘆洲區</v>
      </c>
      <c r="K269" s="355" t="s">
        <v>4485</v>
      </c>
      <c r="L269" s="351" t="s">
        <v>1749</v>
      </c>
      <c r="M269" s="354"/>
    </row>
    <row r="270" spans="1:13" ht="22.95" customHeight="1">
      <c r="A270" s="351" t="s">
        <v>5020</v>
      </c>
      <c r="B270" s="351">
        <v>4923</v>
      </c>
      <c r="C270" s="352" t="s">
        <v>563</v>
      </c>
      <c r="D270" s="352" t="str">
        <f t="shared" si="4"/>
        <v>蘆洲永平店2</v>
      </c>
      <c r="E270" s="351">
        <v>2</v>
      </c>
      <c r="F270" s="351" t="s">
        <v>4376</v>
      </c>
      <c r="G270" s="352" t="s">
        <v>5021</v>
      </c>
      <c r="H270" s="351" t="s">
        <v>4488</v>
      </c>
      <c r="I270" s="353" t="s">
        <v>4500</v>
      </c>
      <c r="J270" s="354" t="str">
        <f>VLOOKUP(B270,'[5]0919門市清單主檔'!B:V,21,FALSE)</f>
        <v>蘆洲區</v>
      </c>
      <c r="K270" s="355" t="s">
        <v>4485</v>
      </c>
      <c r="L270" s="351" t="s">
        <v>1749</v>
      </c>
      <c r="M270" s="354"/>
    </row>
    <row r="271" spans="1:13" ht="22.95" customHeight="1">
      <c r="A271" s="351" t="s">
        <v>5022</v>
      </c>
      <c r="B271" s="351">
        <v>4036</v>
      </c>
      <c r="C271" s="352" t="s">
        <v>1533</v>
      </c>
      <c r="D271" s="352" t="str">
        <f t="shared" si="4"/>
        <v>蘆洲永樂店1</v>
      </c>
      <c r="E271" s="351">
        <v>1</v>
      </c>
      <c r="F271" s="351" t="s">
        <v>4183</v>
      </c>
      <c r="G271" s="352" t="s">
        <v>5023</v>
      </c>
      <c r="H271" s="351" t="s">
        <v>4495</v>
      </c>
      <c r="I271" s="353" t="s">
        <v>4484</v>
      </c>
      <c r="J271" s="354" t="str">
        <f>VLOOKUP(B271,'[5]0919門市清單主檔'!B:V,21,FALSE)</f>
        <v>蘆洲區</v>
      </c>
      <c r="K271" s="355" t="s">
        <v>4485</v>
      </c>
      <c r="L271" s="351" t="s">
        <v>1749</v>
      </c>
      <c r="M271" s="354"/>
    </row>
    <row r="272" spans="1:13" ht="22.95" customHeight="1">
      <c r="A272" s="351" t="s">
        <v>5024</v>
      </c>
      <c r="B272" s="351">
        <v>4125</v>
      </c>
      <c r="C272" s="352" t="s">
        <v>315</v>
      </c>
      <c r="D272" s="352" t="str">
        <f t="shared" si="4"/>
        <v>蘆洲長樂店1</v>
      </c>
      <c r="E272" s="351">
        <v>1</v>
      </c>
      <c r="F272" s="351" t="s">
        <v>4377</v>
      </c>
      <c r="G272" s="352" t="s">
        <v>5025</v>
      </c>
      <c r="H272" s="351" t="s">
        <v>4495</v>
      </c>
      <c r="I272" s="353" t="s">
        <v>4484</v>
      </c>
      <c r="J272" s="354" t="str">
        <f>VLOOKUP(B272,'[5]0919門市清單主檔'!B:V,21,FALSE)</f>
        <v>蘆洲區</v>
      </c>
      <c r="K272" s="355" t="s">
        <v>4485</v>
      </c>
      <c r="L272" s="351" t="s">
        <v>1749</v>
      </c>
      <c r="M272" s="354"/>
    </row>
    <row r="273" spans="1:13" ht="22.95" customHeight="1">
      <c r="A273" s="351" t="s">
        <v>5026</v>
      </c>
      <c r="B273" s="351">
        <v>4125</v>
      </c>
      <c r="C273" s="352" t="s">
        <v>315</v>
      </c>
      <c r="D273" s="352" t="str">
        <f t="shared" si="4"/>
        <v>蘆洲長樂店2</v>
      </c>
      <c r="E273" s="351">
        <v>2</v>
      </c>
      <c r="F273" s="351" t="s">
        <v>4378</v>
      </c>
      <c r="G273" s="352" t="s">
        <v>5027</v>
      </c>
      <c r="H273" s="351" t="s">
        <v>4495</v>
      </c>
      <c r="I273" s="353" t="s">
        <v>4500</v>
      </c>
      <c r="J273" s="354" t="str">
        <f>VLOOKUP(B273,'[5]0919門市清單主檔'!B:V,21,FALSE)</f>
        <v>蘆洲區</v>
      </c>
      <c r="K273" s="355" t="s">
        <v>4485</v>
      </c>
      <c r="L273" s="351" t="s">
        <v>1749</v>
      </c>
      <c r="M273" s="354"/>
    </row>
    <row r="274" spans="1:13" ht="22.95" customHeight="1">
      <c r="A274" s="351" t="s">
        <v>5028</v>
      </c>
      <c r="B274" s="351">
        <v>4609</v>
      </c>
      <c r="C274" s="352" t="s">
        <v>458</v>
      </c>
      <c r="D274" s="352" t="str">
        <f t="shared" si="4"/>
        <v>蘆洲洲正店1</v>
      </c>
      <c r="E274" s="351">
        <v>1</v>
      </c>
      <c r="F274" s="351" t="s">
        <v>4379</v>
      </c>
      <c r="G274" s="352" t="s">
        <v>5029</v>
      </c>
      <c r="H274" s="351" t="s">
        <v>4488</v>
      </c>
      <c r="I274" s="353" t="s">
        <v>4500</v>
      </c>
      <c r="J274" s="354" t="str">
        <f>VLOOKUP(B274,'[5]0919門市清單主檔'!B:V,21,FALSE)</f>
        <v>蘆洲區</v>
      </c>
      <c r="K274" s="355" t="s">
        <v>4485</v>
      </c>
      <c r="L274" s="351" t="s">
        <v>1749</v>
      </c>
      <c r="M274" s="354"/>
    </row>
    <row r="275" spans="1:13" ht="22.95" customHeight="1">
      <c r="A275" s="351" t="s">
        <v>5030</v>
      </c>
      <c r="B275" s="351">
        <v>4609</v>
      </c>
      <c r="C275" s="352" t="s">
        <v>458</v>
      </c>
      <c r="D275" s="352" t="str">
        <f t="shared" si="4"/>
        <v>蘆洲洲正店2</v>
      </c>
      <c r="E275" s="351">
        <v>2</v>
      </c>
      <c r="F275" s="351" t="s">
        <v>4380</v>
      </c>
      <c r="G275" s="352" t="s">
        <v>5031</v>
      </c>
      <c r="H275" s="351" t="s">
        <v>4488</v>
      </c>
      <c r="I275" s="353" t="s">
        <v>4484</v>
      </c>
      <c r="J275" s="354" t="str">
        <f>VLOOKUP(B275,'[5]0919門市清單主檔'!B:V,21,FALSE)</f>
        <v>蘆洲區</v>
      </c>
      <c r="K275" s="355" t="s">
        <v>4485</v>
      </c>
      <c r="L275" s="351" t="s">
        <v>1749</v>
      </c>
      <c r="M275" s="354"/>
    </row>
    <row r="276" spans="1:13" ht="22.95" customHeight="1">
      <c r="A276" s="351" t="s">
        <v>5032</v>
      </c>
      <c r="B276" s="351">
        <v>4218</v>
      </c>
      <c r="C276" s="352" t="s">
        <v>4126</v>
      </c>
      <c r="D276" s="352" t="str">
        <f t="shared" si="4"/>
        <v>蘆洲湧蓮店2</v>
      </c>
      <c r="E276" s="351">
        <v>2</v>
      </c>
      <c r="F276" s="351" t="s">
        <v>4381</v>
      </c>
      <c r="G276" s="352" t="s">
        <v>5033</v>
      </c>
      <c r="H276" s="351" t="s">
        <v>4495</v>
      </c>
      <c r="I276" s="353" t="s">
        <v>4484</v>
      </c>
      <c r="J276" s="354" t="str">
        <f>VLOOKUP(B276,'[5]0919門市清單主檔'!B:V,21,FALSE)</f>
        <v>蘆洲區</v>
      </c>
      <c r="K276" s="355" t="s">
        <v>4485</v>
      </c>
      <c r="L276" s="351" t="s">
        <v>1749</v>
      </c>
      <c r="M276" s="354"/>
    </row>
    <row r="277" spans="1:13" ht="22.95" customHeight="1">
      <c r="A277" s="351" t="s">
        <v>5034</v>
      </c>
      <c r="B277" s="351">
        <v>2301</v>
      </c>
      <c r="C277" s="352" t="s">
        <v>1526</v>
      </c>
      <c r="D277" s="352" t="str">
        <f t="shared" si="4"/>
        <v>蘆洲樂平店1</v>
      </c>
      <c r="E277" s="351">
        <v>1</v>
      </c>
      <c r="F277" s="351" t="s">
        <v>4189</v>
      </c>
      <c r="G277" s="352" t="s">
        <v>5035</v>
      </c>
      <c r="H277" s="351" t="s">
        <v>4488</v>
      </c>
      <c r="I277" s="353" t="s">
        <v>4500</v>
      </c>
      <c r="J277" s="354" t="str">
        <f>VLOOKUP(B277,'[5]0919門市清單主檔'!B:V,21,FALSE)</f>
        <v>蘆洲區</v>
      </c>
      <c r="K277" s="355" t="s">
        <v>4485</v>
      </c>
      <c r="L277" s="351" t="s">
        <v>1749</v>
      </c>
      <c r="M277" s="354"/>
    </row>
    <row r="278" spans="1:13" ht="22.95" customHeight="1">
      <c r="A278" s="351" t="s">
        <v>5036</v>
      </c>
      <c r="B278" s="351">
        <v>2301</v>
      </c>
      <c r="C278" s="352" t="s">
        <v>1526</v>
      </c>
      <c r="D278" s="352" t="str">
        <f t="shared" si="4"/>
        <v>蘆洲樂平店2</v>
      </c>
      <c r="E278" s="351">
        <v>2</v>
      </c>
      <c r="F278" s="351" t="s">
        <v>4190</v>
      </c>
      <c r="G278" s="352" t="s">
        <v>5037</v>
      </c>
      <c r="H278" s="351" t="s">
        <v>4483</v>
      </c>
      <c r="I278" s="353" t="s">
        <v>4484</v>
      </c>
      <c r="J278" s="354" t="str">
        <f>VLOOKUP(B278,'[5]0919門市清單主檔'!B:V,21,FALSE)</f>
        <v>蘆洲區</v>
      </c>
      <c r="K278" s="355" t="s">
        <v>4485</v>
      </c>
      <c r="L278" s="351" t="s">
        <v>1749</v>
      </c>
      <c r="M278" s="354"/>
    </row>
    <row r="279" spans="1:13" ht="22.95" customHeight="1">
      <c r="A279" s="351" t="s">
        <v>5038</v>
      </c>
      <c r="B279" s="351" t="s">
        <v>17</v>
      </c>
      <c r="C279" s="352" t="s">
        <v>1539</v>
      </c>
      <c r="D279" s="352" t="str">
        <f t="shared" si="4"/>
        <v>蘆洲權義店1</v>
      </c>
      <c r="E279" s="351">
        <v>1</v>
      </c>
      <c r="F279" s="351" t="s">
        <v>4187</v>
      </c>
      <c r="G279" s="352" t="s">
        <v>5039</v>
      </c>
      <c r="H279" s="351" t="s">
        <v>4495</v>
      </c>
      <c r="I279" s="353" t="s">
        <v>4484</v>
      </c>
      <c r="J279" s="354" t="str">
        <f>VLOOKUP(B279,'[5]0919門市清單主檔'!B:V,21,FALSE)</f>
        <v>蘆洲區</v>
      </c>
      <c r="K279" s="355" t="s">
        <v>4485</v>
      </c>
      <c r="L279" s="351" t="s">
        <v>1749</v>
      </c>
      <c r="M279" s="354"/>
    </row>
    <row r="280" spans="1:13" ht="22.95" customHeight="1">
      <c r="A280" s="351" t="s">
        <v>5040</v>
      </c>
      <c r="B280" s="351" t="s">
        <v>17</v>
      </c>
      <c r="C280" s="352" t="s">
        <v>1539</v>
      </c>
      <c r="D280" s="352" t="str">
        <f t="shared" si="4"/>
        <v>蘆洲權義店2</v>
      </c>
      <c r="E280" s="351">
        <v>2</v>
      </c>
      <c r="F280" s="351" t="s">
        <v>4188</v>
      </c>
      <c r="G280" s="352" t="s">
        <v>5041</v>
      </c>
      <c r="H280" s="351" t="s">
        <v>4495</v>
      </c>
      <c r="I280" s="353" t="s">
        <v>4500</v>
      </c>
      <c r="J280" s="354" t="str">
        <f>VLOOKUP(B280,'[5]0919門市清單主檔'!B:V,21,FALSE)</f>
        <v>蘆洲區</v>
      </c>
      <c r="K280" s="355" t="s">
        <v>4485</v>
      </c>
      <c r="L280" s="351" t="s">
        <v>1749</v>
      </c>
      <c r="M280" s="354"/>
    </row>
    <row r="281" spans="1:13" ht="22.95" customHeight="1">
      <c r="A281" s="351" t="s">
        <v>5042</v>
      </c>
      <c r="B281" s="351">
        <v>2890</v>
      </c>
      <c r="C281" s="352" t="s">
        <v>4450</v>
      </c>
      <c r="D281" s="352" t="str">
        <f t="shared" si="4"/>
        <v>蘆洲鷺江店1</v>
      </c>
      <c r="E281" s="351">
        <v>1</v>
      </c>
      <c r="F281" s="351" t="s">
        <v>4374</v>
      </c>
      <c r="G281" s="352" t="s">
        <v>5043</v>
      </c>
      <c r="H281" s="351" t="s">
        <v>4483</v>
      </c>
      <c r="I281" s="353" t="s">
        <v>4484</v>
      </c>
      <c r="J281" s="354" t="str">
        <f>VLOOKUP(B281,'[5]0919門市清單主檔'!B:V,21,FALSE)</f>
        <v>蘆洲區</v>
      </c>
      <c r="K281" s="355" t="s">
        <v>4485</v>
      </c>
      <c r="L281" s="351" t="s">
        <v>1749</v>
      </c>
      <c r="M281" s="354"/>
    </row>
    <row r="282" spans="1:13" ht="22.95" customHeight="1">
      <c r="A282" s="351" t="s">
        <v>5044</v>
      </c>
      <c r="B282" s="351">
        <v>2890</v>
      </c>
      <c r="C282" s="352" t="s">
        <v>4450</v>
      </c>
      <c r="D282" s="352" t="str">
        <f t="shared" si="4"/>
        <v>蘆洲鷺江店2</v>
      </c>
      <c r="E282" s="351">
        <v>2</v>
      </c>
      <c r="F282" s="351" t="s">
        <v>4375</v>
      </c>
      <c r="G282" s="352" t="s">
        <v>5045</v>
      </c>
      <c r="H282" s="351" t="s">
        <v>4483</v>
      </c>
      <c r="I282" s="353" t="s">
        <v>4484</v>
      </c>
      <c r="J282" s="354" t="str">
        <f>VLOOKUP(B282,'[5]0919門市清單主檔'!B:V,21,FALSE)</f>
        <v>蘆洲區</v>
      </c>
      <c r="K282" s="355" t="s">
        <v>4485</v>
      </c>
      <c r="L282" s="351" t="s">
        <v>1749</v>
      </c>
      <c r="M282" s="354"/>
    </row>
    <row r="285" spans="1:13">
      <c r="G285" s="357"/>
      <c r="I285" s="357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65" t="s">
        <v>1756</v>
      </c>
      <c r="B1" s="365"/>
      <c r="D1" s="364" t="s">
        <v>1757</v>
      </c>
      <c r="E1" s="364"/>
      <c r="F1" s="364"/>
      <c r="G1" s="364"/>
      <c r="H1" s="364"/>
      <c r="I1" s="364"/>
      <c r="J1" s="364"/>
      <c r="K1" s="364"/>
      <c r="M1" s="364" t="s">
        <v>1758</v>
      </c>
      <c r="N1" s="364"/>
      <c r="O1" s="364"/>
      <c r="P1" s="364"/>
      <c r="Q1" s="364"/>
      <c r="R1" s="364"/>
      <c r="S1" s="364"/>
      <c r="T1" s="53"/>
      <c r="V1" s="364" t="s">
        <v>1759</v>
      </c>
      <c r="W1" s="364"/>
      <c r="X1" s="364"/>
      <c r="Y1" s="364"/>
      <c r="Z1" s="364"/>
      <c r="AA1" s="364"/>
      <c r="AB1" s="364"/>
      <c r="AC1" s="364"/>
      <c r="AD1" s="364"/>
      <c r="AF1" s="364" t="s">
        <v>1760</v>
      </c>
      <c r="AG1" s="364"/>
      <c r="AH1" s="364"/>
      <c r="AI1" s="364"/>
      <c r="AJ1" s="364"/>
      <c r="AK1" s="364"/>
      <c r="AL1" s="364"/>
      <c r="AM1" s="364"/>
      <c r="AN1" s="364"/>
      <c r="AP1" s="364" t="s">
        <v>1761</v>
      </c>
      <c r="AQ1" s="364"/>
      <c r="AR1" s="364"/>
      <c r="AS1" s="364"/>
      <c r="AT1" s="364"/>
      <c r="AU1" s="364"/>
      <c r="AV1" s="364"/>
      <c r="AW1" s="364"/>
      <c r="AX1" s="364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64" t="s">
        <v>1959</v>
      </c>
      <c r="N35" s="364"/>
      <c r="O35" s="364"/>
      <c r="P35" s="364"/>
      <c r="Q35" s="364"/>
      <c r="R35" s="364"/>
      <c r="S35" s="364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64" t="s">
        <v>2042</v>
      </c>
      <c r="N51" s="364"/>
      <c r="O51" s="364"/>
      <c r="P51" s="364"/>
      <c r="Q51" s="364"/>
      <c r="R51" s="364"/>
      <c r="S51" s="364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2025-04-09T12:33:29Z</dcterms:modified>
</cp:coreProperties>
</file>