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\Documents\Excel\Monthly_Expenses\"/>
    </mc:Choice>
  </mc:AlternateContent>
  <xr:revisionPtr revIDLastSave="0" documentId="8_{B06FB8E8-E3ED-4A44-A2E1-6E3735369850}" xr6:coauthVersionLast="47" xr6:coauthVersionMax="47" xr10:uidLastSave="{00000000-0000-0000-0000-000000000000}"/>
  <bookViews>
    <workbookView xWindow="-108" yWindow="-108" windowWidth="23256" windowHeight="12576" xr2:uid="{35870769-41C3-43EB-90D8-AB862FBE52CA}"/>
  </bookViews>
  <sheets>
    <sheet name="Sheet1" sheetId="1" r:id="rId1"/>
    <sheet name="Jan 2022" sheetId="2" r:id="rId2"/>
    <sheet name="Feb 2022" sheetId="3" r:id="rId3"/>
    <sheet name="Mar 2022" sheetId="4" r:id="rId4"/>
    <sheet name="Apr 2022" sheetId="5" r:id="rId5"/>
    <sheet name="May 2022" sheetId="6" r:id="rId6"/>
    <sheet name="Jun 2022" sheetId="7" r:id="rId7"/>
    <sheet name="Jul 2022" sheetId="8" r:id="rId8"/>
    <sheet name="Aug 2022" sheetId="9" r:id="rId9"/>
    <sheet name="Sep 2022" sheetId="10" r:id="rId10"/>
    <sheet name="Oct 2022" sheetId="11" r:id="rId11"/>
    <sheet name="Nov 2022" sheetId="12" r:id="rId12"/>
    <sheet name="Dec 2022 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8" i="1"/>
  <c r="E9" i="1"/>
  <c r="E7" i="1"/>
  <c r="E12" i="3"/>
  <c r="M63" i="1"/>
  <c r="L63" i="1"/>
  <c r="C22" i="1" s="1"/>
  <c r="F22" i="1" s="1"/>
  <c r="I63" i="1"/>
  <c r="D25" i="1" s="1"/>
  <c r="E25" i="1" s="1"/>
  <c r="H63" i="1"/>
  <c r="C25" i="1" s="1"/>
  <c r="F25" i="1" s="1"/>
  <c r="Q44" i="1"/>
  <c r="P44" i="1"/>
  <c r="D24" i="1" s="1"/>
  <c r="E24" i="1" s="1"/>
  <c r="O44" i="1"/>
  <c r="L44" i="1"/>
  <c r="K44" i="1"/>
  <c r="C21" i="1" s="1"/>
  <c r="F21" i="1" s="1"/>
  <c r="I44" i="1"/>
  <c r="D23" i="1" s="1"/>
  <c r="E23" i="1" s="1"/>
  <c r="H44" i="1"/>
  <c r="C24" i="1"/>
  <c r="F24" i="1" s="1"/>
  <c r="C23" i="1"/>
  <c r="F23" i="1" s="1"/>
  <c r="L22" i="1"/>
  <c r="D20" i="1" s="1"/>
  <c r="E20" i="1" s="1"/>
  <c r="K22" i="1"/>
  <c r="C20" i="1" s="1"/>
  <c r="I22" i="1"/>
  <c r="D22" i="1"/>
  <c r="D21" i="1"/>
  <c r="E21" i="1" s="1"/>
  <c r="E19" i="1"/>
  <c r="E18" i="1"/>
  <c r="E17" i="1"/>
  <c r="E16" i="1"/>
  <c r="F15" i="1"/>
  <c r="F13" i="1"/>
  <c r="C11" i="1"/>
  <c r="F11" i="1" s="1"/>
  <c r="E10" i="1"/>
  <c r="F6" i="1"/>
  <c r="F6" i="3"/>
  <c r="E10" i="3"/>
  <c r="F13" i="3"/>
  <c r="F15" i="3"/>
  <c r="E16" i="3"/>
  <c r="E17" i="3"/>
  <c r="E18" i="3"/>
  <c r="E19" i="3"/>
  <c r="D22" i="3"/>
  <c r="E22" i="3" s="1"/>
  <c r="I22" i="3"/>
  <c r="C11" i="3" s="1"/>
  <c r="K22" i="3"/>
  <c r="C20" i="3" s="1"/>
  <c r="F20" i="3" s="1"/>
  <c r="L22" i="3"/>
  <c r="D20" i="3" s="1"/>
  <c r="E20" i="3" s="1"/>
  <c r="D25" i="3"/>
  <c r="E25" i="3"/>
  <c r="H44" i="3"/>
  <c r="C23" i="3" s="1"/>
  <c r="F23" i="3" s="1"/>
  <c r="I44" i="3"/>
  <c r="D23" i="3" s="1"/>
  <c r="E23" i="3" s="1"/>
  <c r="K44" i="3"/>
  <c r="C21" i="3" s="1"/>
  <c r="F21" i="3" s="1"/>
  <c r="L44" i="3"/>
  <c r="D21" i="3" s="1"/>
  <c r="E21" i="3" s="1"/>
  <c r="O44" i="3"/>
  <c r="C24" i="3" s="1"/>
  <c r="F24" i="3" s="1"/>
  <c r="P44" i="3"/>
  <c r="D24" i="3" s="1"/>
  <c r="E24" i="3" s="1"/>
  <c r="Q44" i="3"/>
  <c r="H63" i="3"/>
  <c r="C25" i="3" s="1"/>
  <c r="F25" i="3" s="1"/>
  <c r="I63" i="3"/>
  <c r="L63" i="3"/>
  <c r="C22" i="3" s="1"/>
  <c r="F22" i="3" s="1"/>
  <c r="M63" i="3"/>
  <c r="E27" i="2"/>
  <c r="F27" i="2"/>
  <c r="I22" i="2"/>
  <c r="C11" i="2" s="1"/>
  <c r="F11" i="2" s="1"/>
  <c r="E21" i="2"/>
  <c r="E22" i="2"/>
  <c r="E23" i="2"/>
  <c r="E24" i="2"/>
  <c r="E25" i="2"/>
  <c r="E20" i="2"/>
  <c r="F21" i="2"/>
  <c r="F22" i="2"/>
  <c r="F23" i="2"/>
  <c r="F24" i="2"/>
  <c r="D27" i="2"/>
  <c r="D25" i="2"/>
  <c r="D24" i="2"/>
  <c r="C24" i="2"/>
  <c r="P44" i="2"/>
  <c r="O44" i="2"/>
  <c r="Q44" i="2"/>
  <c r="H44" i="2"/>
  <c r="C23" i="2" s="1"/>
  <c r="D20" i="2"/>
  <c r="C20" i="2"/>
  <c r="F20" i="2" s="1"/>
  <c r="M63" i="2"/>
  <c r="D22" i="2" s="1"/>
  <c r="L63" i="2"/>
  <c r="C22" i="2" s="1"/>
  <c r="I63" i="2"/>
  <c r="H63" i="2"/>
  <c r="C25" i="2" s="1"/>
  <c r="F25" i="2" s="1"/>
  <c r="K44" i="2"/>
  <c r="C21" i="2" s="1"/>
  <c r="L44" i="2"/>
  <c r="D21" i="2" s="1"/>
  <c r="L22" i="2"/>
  <c r="K22" i="2"/>
  <c r="I44" i="2"/>
  <c r="D23" i="2" s="1"/>
  <c r="E14" i="2"/>
  <c r="E12" i="2"/>
  <c r="E8" i="2"/>
  <c r="E9" i="2"/>
  <c r="E10" i="2"/>
  <c r="E7" i="2"/>
  <c r="F15" i="2"/>
  <c r="E17" i="2"/>
  <c r="E18" i="2"/>
  <c r="E19" i="2"/>
  <c r="E16" i="2"/>
  <c r="F13" i="2"/>
  <c r="F6" i="2"/>
  <c r="D27" i="1" l="1"/>
  <c r="F20" i="1"/>
  <c r="F27" i="1" s="1"/>
  <c r="C27" i="1"/>
  <c r="E22" i="1"/>
  <c r="E27" i="1" s="1"/>
  <c r="F11" i="3"/>
  <c r="C27" i="3"/>
  <c r="E27" i="3"/>
  <c r="F27" i="3"/>
  <c r="D27" i="3"/>
  <c r="C27" i="2"/>
  <c r="D28" i="2" s="1"/>
  <c r="D28" i="1" l="1"/>
  <c r="D28" i="3"/>
</calcChain>
</file>

<file path=xl/sharedStrings.xml><?xml version="1.0" encoding="utf-8"?>
<sst xmlns="http://schemas.openxmlformats.org/spreadsheetml/2006/main" count="226" uniqueCount="58">
  <si>
    <t>Mortgage</t>
  </si>
  <si>
    <t>Electric</t>
  </si>
  <si>
    <t>Gas</t>
  </si>
  <si>
    <t>Water</t>
  </si>
  <si>
    <t>Cable/Internet</t>
  </si>
  <si>
    <t>Netflix</t>
  </si>
  <si>
    <t>Disney</t>
  </si>
  <si>
    <t>Hulu</t>
  </si>
  <si>
    <t>Prime</t>
  </si>
  <si>
    <t>Alma Paid</t>
  </si>
  <si>
    <t>Charlie Paid</t>
  </si>
  <si>
    <t>Groceries</t>
  </si>
  <si>
    <t>Diego Expenses</t>
  </si>
  <si>
    <t>Miscellaneous</t>
  </si>
  <si>
    <t>Total</t>
  </si>
  <si>
    <t>Entertainment</t>
  </si>
  <si>
    <t>Date</t>
  </si>
  <si>
    <t>Walmart</t>
  </si>
  <si>
    <t>Safeway</t>
  </si>
  <si>
    <t>Costco</t>
  </si>
  <si>
    <t>Dining</t>
  </si>
  <si>
    <t>Chic-Fil-A</t>
  </si>
  <si>
    <t>Chipotle</t>
  </si>
  <si>
    <t>In-N-Out</t>
  </si>
  <si>
    <t>Twin Peaks</t>
  </si>
  <si>
    <t>Pizza Hut</t>
  </si>
  <si>
    <t>Subway</t>
  </si>
  <si>
    <t>Five Guys</t>
  </si>
  <si>
    <t>Dairy Queen</t>
  </si>
  <si>
    <t>Jimmy John's</t>
  </si>
  <si>
    <t>Jersey Mikes</t>
  </si>
  <si>
    <t>Little Ceasers</t>
  </si>
  <si>
    <t>Chili's</t>
  </si>
  <si>
    <t>Texas Roadhouse</t>
  </si>
  <si>
    <t>Churasco</t>
  </si>
  <si>
    <t>Cheescake Factory</t>
  </si>
  <si>
    <t>Other</t>
  </si>
  <si>
    <t>Garbage</t>
  </si>
  <si>
    <t>Baby Sitting</t>
  </si>
  <si>
    <t>Alma</t>
  </si>
  <si>
    <t>Charlie</t>
  </si>
  <si>
    <t>Cellular</t>
  </si>
  <si>
    <t>Google</t>
  </si>
  <si>
    <t>HOA</t>
  </si>
  <si>
    <t>Household Total</t>
  </si>
  <si>
    <t>Alma Owes</t>
  </si>
  <si>
    <t>Charlie Owes</t>
  </si>
  <si>
    <t>Babysitting</t>
  </si>
  <si>
    <t>Amount</t>
  </si>
  <si>
    <t>Misc. Expenses</t>
  </si>
  <si>
    <t>Comments</t>
  </si>
  <si>
    <t>Dogs</t>
  </si>
  <si>
    <t>Kason's Present</t>
  </si>
  <si>
    <t>Sterling Present</t>
  </si>
  <si>
    <t>Ariel and Jocelyn Christmas</t>
  </si>
  <si>
    <t>Peter Piper</t>
  </si>
  <si>
    <t>Monster Truck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</si>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</sst>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1" fillId="0" borderId="0" xfId="0" applyNumberFormat="1" applyFont="1"/>
    <xf numFmtId="44" fontId="1" fillId="0" borderId="0" xfId="1" applyNumberFormat="1" applyFont="1"/>
    <xf numFmtId="44" fontId="0" fillId="2" borderId="1" xfId="1" applyFont="1" applyFill="1" applyBorder="1"/>
    <xf numFmtId="44" fontId="0" fillId="0" borderId="1" xfId="1" applyFont="1" applyBorder="1"/>
    <xf numFmtId="44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44" fontId="0" fillId="0" borderId="1" xfId="0" applyNumberFormat="1" applyBorder="1"/>
    <xf numFmtId="0" fontId="0" fillId="3" borderId="1" xfId="0" applyFill="1" applyBorder="1"/>
  </cellXfs>
  <cellStyles count="2">
    <cellStyle name="Currency" xfId="1" builtinId="4"/>
    <cellStyle name="Normal" xfId="0" builtinId="0"/>
  </cellStyles>
  <dxfs count="37">
    <dxf>
      <fill>
        <patternFill patternType="solid">
          <fgColor indexed="64"/>
          <bgColor rgb="FFFF66CC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rgb="FFFF66CC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rgb="FFFF66CC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rgb="FFFF66CC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rgb="FFFF66CC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rgb="FFFF66CC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166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mm/dd/yy;@"/>
    </dxf>
  </dxfs>
  <tableStyles count="0" defaultTableStyle="TableStyleMedium2" defaultPivotStyle="PivotStyleLight16"/>
  <colors>
    <mruColors>
      <color rgb="FF66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8BEC1F0-DBAE-41CD-8A2D-95D99EADF4BE}" name="Table21219" displayName="Table21219" ref="H6:I22" totalsRowCount="1">
  <autoFilter ref="H6:I21" xr:uid="{08BEC1F0-DBAE-41CD-8A2D-95D99EADF4BE}"/>
  <tableColumns count="2">
    <tableColumn id="1" xr3:uid="{DF8742BB-D198-415C-A8D7-D78863196677}" name="Date" totalsRowLabel="Total" dataDxfId="19"/>
    <tableColumn id="2" xr3:uid="{B47086B2-92E4-44CD-84D8-DFF43AF07E33}" name="Amount" totalsRowFunction="sum" totalsRowDxfId="18" dataCellStyle="Currency" totalsRowCellStyle="Currenc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6CB366-0B7E-47B4-B55F-4F93F60FF144}" name="Table4" displayName="Table4" ref="K6:L22" totalsRowCount="1">
  <autoFilter ref="K6:L21" xr:uid="{146CB366-0B7E-47B4-B55F-4F93F60FF144}"/>
  <tableColumns count="2">
    <tableColumn id="2" xr3:uid="{F5D114A5-7CFC-443D-A1D7-CEF5484E66B2}" name="Alma" totalsRowFunction="sum" totalsRowDxfId="35" dataCellStyle="Currency"/>
    <tableColumn id="3" xr3:uid="{66AE84E6-76B6-47B9-AC5A-33C8E8179A9B}" name="Charlie" totalsRowFunction="sum" totalsRowDxfId="34" dataCellStyle="Currenc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69B6CC-DF03-4E24-A056-43BC5C95ADD9}" name="Table7" displayName="Table7" ref="K28:M44" totalsRowCount="1">
  <autoFilter ref="K28:M43" xr:uid="{3E69B6CC-DF03-4E24-A056-43BC5C95ADD9}"/>
  <tableColumns count="3">
    <tableColumn id="1" xr3:uid="{80943285-C85A-4725-9546-2B02069F67C2}" name="Alma" totalsRowFunction="sum" totalsRowDxfId="33" dataCellStyle="Currency" totalsRowCellStyle="Currency"/>
    <tableColumn id="2" xr3:uid="{D9ADF76E-5866-4366-9F10-49FE203BD74C}" name="Charlie" totalsRowFunction="count" dataCellStyle="Currency"/>
    <tableColumn id="3" xr3:uid="{6A153185-C8B3-454F-B5B8-FF498F732A89}" name="Comments" dataCellStyle="Curr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6F81EA-8835-42B8-8C7C-FC30D369601F}" name="Table8" displayName="Table8" ref="H47:J63" totalsRowCount="1">
  <autoFilter ref="H47:J62" xr:uid="{556F81EA-8835-42B8-8C7C-FC30D369601F}"/>
  <tableColumns count="3">
    <tableColumn id="1" xr3:uid="{E1545245-656E-48BA-B967-DABF0E50AB10}" name="Alma" totalsRowFunction="sum" totalsRowDxfId="29" dataCellStyle="Currency"/>
    <tableColumn id="2" xr3:uid="{4F15CD92-2DD9-47E3-8D61-05EB7D8430D1}" name="Charlie" totalsRowFunction="sum" totalsRowDxfId="28"/>
    <tableColumn id="3" xr3:uid="{733C8261-696E-4ED5-9EA8-F16F7FDDF913}" name="Comments" totalsRowDxfId="27" totalsRowCellStyl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BEB9D3-01D0-4168-B03C-E63CE05D5693}" name="Table9" displayName="Table9" ref="L47:N63" totalsRowCount="1">
  <autoFilter ref="L47:N62" xr:uid="{83BEB9D3-01D0-4168-B03C-E63CE05D5693}"/>
  <tableColumns count="3">
    <tableColumn id="1" xr3:uid="{AE53142E-B132-4A85-8CE1-AFFEF098D0AD}" name="Alma" totalsRowFunction="sum" dataCellStyle="Currency" totalsRowCellStyle="Currency"/>
    <tableColumn id="2" xr3:uid="{1678C779-45E2-48C3-97FC-6730068FC753}" name="Charlie" totalsRowFunction="sum" dataCellStyle="Currency" totalsRowCellStyle="Currency"/>
    <tableColumn id="3" xr3:uid="{FED606A7-DB18-4B34-A31C-A19AE6EFC480}" name="Comments" dataCellStyle="Currency" totalsRowCellStyle="Currenc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EDFFD4-9DE2-41D6-9538-70C15044EB78}" name="Table10" displayName="Table10" ref="O28:Q44" totalsRowCount="1">
  <autoFilter ref="O28:Q43" xr:uid="{87EDFFD4-9DE2-41D6-9538-70C15044EB78}"/>
  <tableColumns count="3">
    <tableColumn id="1" xr3:uid="{717B844C-B8B1-47E8-A673-53227E7BF4C9}" name="Alma" totalsRowFunction="sum"/>
    <tableColumn id="2" xr3:uid="{700EE77C-73DB-4D88-8264-FDA77B32A0E4}" name="Charlie" totalsRowFunction="sum"/>
    <tableColumn id="3" xr3:uid="{78470A85-DDF7-429E-B3D1-801FB428C0F2}" name="Comments" totalsRowFunction="cou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FF3036-E340-4479-B0D9-974AAFB53F5F}" name="Table212" displayName="Table212" ref="H6:I22" totalsRowCount="1">
  <autoFilter ref="H6:I21" xr:uid="{53FF3036-E340-4479-B0D9-974AAFB53F5F}"/>
  <tableColumns count="2">
    <tableColumn id="1" xr3:uid="{80341D3D-D48A-4DB9-9B8F-267D5EAFAC7A}" name="Date" totalsRowLabel="Total" dataDxfId="26"/>
    <tableColumn id="2" xr3:uid="{84EF7BDD-D44A-4022-A9A6-463D78BAE7A5}" name="Amount" totalsRowFunction="sum" totalsRowDxfId="23" dataCellStyle="Currency" totalsRowCellStyle="Currency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C45A8D-FC00-42F9-9AF8-6D87DD2683DA}" name="Table313" displayName="Table313" ref="H28:I44" totalsRowCount="1">
  <autoFilter ref="H28:I43" xr:uid="{E9C45A8D-FC00-42F9-9AF8-6D87DD2683DA}"/>
  <tableColumns count="2">
    <tableColumn id="2" xr3:uid="{88B0E2E8-5AD8-4B8E-8BA3-8DA57010D5C0}" name="Alma" totalsRowFunction="sum" totalsRowDxfId="25" dataCellStyle="Currency"/>
    <tableColumn id="3" xr3:uid="{6A36CC48-A6A3-4E91-8188-6B45D7DE25AA}" name="Charlie" totalsRowFunction="sum" totalsRowDxfId="24" dataCellStyle="Currency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CC7E25-1509-496A-877E-64B1C071F02B}" name="Table414" displayName="Table414" ref="K6:L22" totalsRowCount="1">
  <autoFilter ref="K6:L21" xr:uid="{4BCC7E25-1509-496A-877E-64B1C071F02B}"/>
  <tableColumns count="2">
    <tableColumn id="2" xr3:uid="{BE5D66DA-0192-4F43-A0D3-DE0E4D239F5B}" name="Alma" totalsRowFunction="sum" totalsRowDxfId="11" dataCellStyle="Currency"/>
    <tableColumn id="3" xr3:uid="{6EAB918A-67C8-4A66-A511-B73BD375CAF1}" name="Charlie" totalsRowFunction="sum" totalsRowDxfId="10" dataCellStyle="Currency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2E66C48-8665-4A37-B456-F038207F0B96}" name="Table715" displayName="Table715" ref="K28:M44" totalsRowCount="1">
  <autoFilter ref="K28:M43" xr:uid="{12E66C48-8665-4A37-B456-F038207F0B96}"/>
  <tableColumns count="3">
    <tableColumn id="1" xr3:uid="{16215480-2F14-4019-AB00-1DFD983B9165}" name="Alma" totalsRowFunction="sum" totalsRowDxfId="9" dataCellStyle="Currency" totalsRowCellStyle="Currency"/>
    <tableColumn id="2" xr3:uid="{12052EF2-E785-427D-A492-84982A6385DC}" name="Charlie" totalsRowFunction="count" totalsRowDxfId="8" dataCellStyle="Currency" totalsRowCellStyle="Currency"/>
    <tableColumn id="3" xr3:uid="{68384063-CB48-4247-A519-B10E36D4D51D}" name="Comments" dataCellStyle="Currency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E35B98B-A635-45DC-9ADD-17EA2ABB250E}" name="Table816" displayName="Table816" ref="H47:J63" totalsRowCount="1">
  <autoFilter ref="H47:J62" xr:uid="{DE35B98B-A635-45DC-9ADD-17EA2ABB250E}"/>
  <tableColumns count="3">
    <tableColumn id="1" xr3:uid="{3CB66505-1911-4577-A234-64C70A613EE2}" name="Alma" totalsRowFunction="sum" totalsRowDxfId="22" dataCellStyle="Currency"/>
    <tableColumn id="2" xr3:uid="{FA3BBDA2-D554-4CC9-9D3A-CA274C98E4DC}" name="Charlie" totalsRowFunction="sum" totalsRowDxfId="21"/>
    <tableColumn id="3" xr3:uid="{3266452C-4B91-4D26-AD31-C7AF631496AD}" name="Comments" totalsRowDxfId="20" totalsRow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F47CA79-82D0-406C-A223-D60BC8E3873F}" name="Table31320" displayName="Table31320" ref="H28:I44" totalsRowCount="1">
  <autoFilter ref="H28:I43" xr:uid="{5F47CA79-82D0-406C-A223-D60BC8E3873F}"/>
  <tableColumns count="2">
    <tableColumn id="2" xr3:uid="{445C19D6-8485-4B21-9ABE-893B55BD6EF0}" name="Alma" totalsRowFunction="sum" dataDxfId="5" totalsRowDxfId="17" dataCellStyle="Currency"/>
    <tableColumn id="3" xr3:uid="{EFEF91AD-2ACE-4C44-8B3D-4EF4CC946B87}" name="Charlie" totalsRowFunction="sum" totalsRowDxfId="16" dataCellStyle="Currenc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240EE7-5E48-4BFD-8970-9645A9B6BA57}" name="Table917" displayName="Table917" ref="L47:N63" totalsRowCount="1">
  <autoFilter ref="L47:N62" xr:uid="{26240EE7-5E48-4BFD-8970-9645A9B6BA57}"/>
  <tableColumns count="3">
    <tableColumn id="1" xr3:uid="{4E0724A7-2ADA-460B-84A7-43F2BBF71A19}" name="Alma" totalsRowFunction="sum" dataCellStyle="Currency" totalsRowCellStyle="Currency"/>
    <tableColumn id="2" xr3:uid="{FF3A4B53-F3B2-4322-A19C-434151D7F20A}" name="Charlie" totalsRowFunction="sum" dataCellStyle="Currency" totalsRowCellStyle="Currency"/>
    <tableColumn id="3" xr3:uid="{C0878520-9C92-4B75-9DD3-001D844D619D}" name="Comments" dataCellStyle="Currency" totalsRowCellStyle="Currency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5754E6F-FD4D-4DC8-90EF-103A3C134002}" name="Table1018" displayName="Table1018" ref="O28:Q44" totalsRowCount="1">
  <autoFilter ref="O28:Q43" xr:uid="{85754E6F-FD4D-4DC8-90EF-103A3C134002}"/>
  <tableColumns count="3">
    <tableColumn id="1" xr3:uid="{447668BD-51A7-4492-B0DF-880B58FEDDAA}" name="Alma" totalsRowFunction="sum"/>
    <tableColumn id="2" xr3:uid="{6E3863AF-A1AE-44A3-98B8-D963169A34E6}" name="Charlie" totalsRowFunction="sum"/>
    <tableColumn id="3" xr3:uid="{E758D735-8D00-4E02-8B0E-B42A2899DEE1}" name="Comments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DAD356-CB03-4B06-AEDD-7C391EECBE85}" name="Table41421" displayName="Table41421" ref="K6:M22" totalsRowCount="1">
  <autoFilter ref="K6:M21" xr:uid="{4DDAD356-CB03-4B06-AEDD-7C391EECBE85}"/>
  <tableColumns count="3">
    <tableColumn id="2" xr3:uid="{B0A2DA4E-32C6-414C-8E27-900457D1C570}" name="Alma" totalsRowFunction="sum" dataDxfId="4" totalsRowDxfId="7" dataCellStyle="Currency"/>
    <tableColumn id="3" xr3:uid="{1FFE8F98-46BD-4554-9252-DA76793A3AA9}" name="Charlie" totalsRowFunction="sum" totalsRowDxfId="6" dataCellStyle="Currency"/>
    <tableColumn id="4" xr3:uid="{4A8C85F3-6582-4F81-AD0F-9A40B2722D5A}" name="store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7F7089B-8832-4EB1-BD08-867ADF6E91CA}" name="Table71522" displayName="Table71522" ref="K28:M44" totalsRowCount="1">
  <autoFilter ref="K28:M43" xr:uid="{E7F7089B-8832-4EB1-BD08-867ADF6E91CA}"/>
  <tableColumns count="3">
    <tableColumn id="1" xr3:uid="{CD64EA01-655C-45E1-8B67-E21227AC9930}" name="Alma" totalsRowFunction="sum" dataDxfId="3" totalsRowDxfId="15" dataCellStyle="Currency" totalsRowCellStyle="Currency"/>
    <tableColumn id="2" xr3:uid="{389D85A4-12B5-41C3-BBCA-4C7E0EEC4DFE}" name="Charlie" totalsRowFunction="count" dataCellStyle="Currency"/>
    <tableColumn id="3" xr3:uid="{A06E15FF-9A11-4123-AB39-B048E6F99FC7}" name="Comments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27C040B-3CAC-4A22-BD06-06D81C12D6E5}" name="Table81623" displayName="Table81623" ref="H47:J63" totalsRowCount="1">
  <autoFilter ref="H47:J62" xr:uid="{C27C040B-3CAC-4A22-BD06-06D81C12D6E5}"/>
  <tableColumns count="3">
    <tableColumn id="1" xr3:uid="{E62CE048-EC71-42C9-9741-A6163F06F6CE}" name="Alma" totalsRowFunction="sum" dataDxfId="1" totalsRowDxfId="14" dataCellStyle="Currency"/>
    <tableColumn id="2" xr3:uid="{72636F1E-B47D-41A6-AEDB-DD3049B2F1FE}" name="Charlie" totalsRowFunction="sum" totalsRowDxfId="13"/>
    <tableColumn id="3" xr3:uid="{BD5189FD-5297-483D-98AE-E6800ED85D3A}" name="Comments" totalsRowDxfId="12" totalsRow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A3E5A95-90A9-4D0D-8151-01BF4A51949D}" name="Table91724" displayName="Table91724" ref="L47:N63" totalsRowCount="1">
  <autoFilter ref="L47:N62" xr:uid="{1A3E5A95-90A9-4D0D-8151-01BF4A51949D}"/>
  <tableColumns count="3">
    <tableColumn id="1" xr3:uid="{34FF8F73-AD81-4848-8C97-FD90079CC56D}" name="Alma" totalsRowFunction="sum" dataDxfId="0" dataCellStyle="Currency" totalsRowCellStyle="Currency"/>
    <tableColumn id="2" xr3:uid="{F3315704-45DF-4F3B-BA7F-0C28D9564D0C}" name="Charlie" totalsRowFunction="sum" dataCellStyle="Currency" totalsRowCellStyle="Currency"/>
    <tableColumn id="3" xr3:uid="{C0956E04-FA85-4687-9511-FF198C8D8E8A}" name="Comments" dataCellStyle="Currency" totalsRow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C78E450-8AD4-4DF7-95DE-E0F0482922E7}" name="Table101825" displayName="Table101825" ref="O28:Q44" totalsRowCount="1">
  <autoFilter ref="O28:Q43" xr:uid="{3C78E450-8AD4-4DF7-95DE-E0F0482922E7}"/>
  <tableColumns count="3">
    <tableColumn id="1" xr3:uid="{313C5439-DBF6-4B55-8FBA-2E9A4F99F4AE}" name="Alma" totalsRowFunction="sum" dataDxfId="2"/>
    <tableColumn id="2" xr3:uid="{592D6ACD-5991-4F7E-8B3A-B08602C57FEC}" name="Charlie" totalsRowFunction="sum"/>
    <tableColumn id="3" xr3:uid="{63DEDC19-14E8-4749-A3DE-FA80ECA67580}" name="Comments" totalsRowFunction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EE275-FFBF-48D5-854B-5F232C7F4DE5}" name="Table2" displayName="Table2" ref="H6:I22" totalsRowCount="1">
  <autoFilter ref="H6:I21" xr:uid="{DF9EE275-FFBF-48D5-854B-5F232C7F4DE5}"/>
  <tableColumns count="2">
    <tableColumn id="1" xr3:uid="{1CACC21C-2FFC-488B-8E32-5A5E422B6E86}" name="Date" totalsRowLabel="Total" dataDxfId="36"/>
    <tableColumn id="2" xr3:uid="{881DBCCE-5A30-4447-9B1E-103AC13374CD}" name="Amount" totalsRowFunction="sum" totalsRowDxfId="30" dataCellStyle="Currency" totalsRowCellStyle="Currenc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C0BA2F-993D-4118-94ED-564886FF8224}" name="Table3" displayName="Table3" ref="H28:I44" totalsRowCount="1">
  <autoFilter ref="H28:I43" xr:uid="{D8C0BA2F-993D-4118-94ED-564886FF8224}"/>
  <tableColumns count="2">
    <tableColumn id="2" xr3:uid="{CF5A4424-F607-4E57-9AB6-AE6431933C8E}" name="Alma" totalsRowFunction="sum" totalsRowDxfId="32" dataCellStyle="Currency"/>
    <tableColumn id="3" xr3:uid="{9E04F2FC-5B10-499A-AAE0-E4101A0F79A6}" name="Charlie" totalsRowFunction="sum" totalsRowDxfId="3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40-4D77-4ABE-8EC0-7CD1307EB36E}">
  <dimension ref="A3:T70"/>
  <sheetViews>
    <sheetView tabSelected="1" topLeftCell="A10" workbookViewId="0">
      <selection activeCell="B4" sqref="B4"/>
    </sheetView>
  </sheetViews>
  <sheetFormatPr defaultRowHeight="14.4" x14ac:dyDescent="0.3"/>
  <cols>
    <col min="2" max="2" width="19.88671875" bestFit="1" customWidth="1"/>
    <col min="3" max="3" width="10.109375" bestFit="1" customWidth="1"/>
    <col min="4" max="4" width="10.5546875" bestFit="1" customWidth="1"/>
    <col min="5" max="5" width="10.109375" bestFit="1" customWidth="1"/>
    <col min="6" max="6" width="11.6640625" bestFit="1" customWidth="1"/>
    <col min="8" max="13" width="10.44140625" customWidth="1"/>
    <col min="15" max="16" width="10.44140625" customWidth="1"/>
    <col min="17" max="17" width="16.33203125" bestFit="1" customWidth="1"/>
  </cols>
  <sheetData>
    <row r="3" spans="1:20" x14ac:dyDescent="0.3">
      <c r="P3" t="s">
        <v>19</v>
      </c>
      <c r="Q3" t="s">
        <v>35</v>
      </c>
      <c r="T3">
        <v>225</v>
      </c>
    </row>
    <row r="4" spans="1:20" x14ac:dyDescent="0.3">
      <c r="P4" t="s">
        <v>18</v>
      </c>
      <c r="Q4" t="s">
        <v>21</v>
      </c>
      <c r="T4">
        <v>39</v>
      </c>
    </row>
    <row r="5" spans="1:20" x14ac:dyDescent="0.3">
      <c r="A5" t="s">
        <v>16</v>
      </c>
      <c r="C5" t="s">
        <v>9</v>
      </c>
      <c r="D5" t="s">
        <v>10</v>
      </c>
      <c r="E5" t="s">
        <v>45</v>
      </c>
      <c r="F5" t="s">
        <v>46</v>
      </c>
      <c r="H5" t="s">
        <v>47</v>
      </c>
      <c r="K5" t="s">
        <v>11</v>
      </c>
      <c r="P5" t="s">
        <v>17</v>
      </c>
      <c r="Q5" t="s">
        <v>32</v>
      </c>
    </row>
    <row r="6" spans="1:20" x14ac:dyDescent="0.3">
      <c r="B6" s="12" t="s">
        <v>0</v>
      </c>
      <c r="C6" s="6"/>
      <c r="D6" s="7"/>
      <c r="E6" s="8"/>
      <c r="F6" s="7">
        <f>$C6/2</f>
        <v>0</v>
      </c>
      <c r="H6" t="s">
        <v>16</v>
      </c>
      <c r="I6" t="s">
        <v>48</v>
      </c>
      <c r="K6" t="s">
        <v>39</v>
      </c>
      <c r="L6" t="s">
        <v>40</v>
      </c>
      <c r="M6" t="s">
        <v>57</v>
      </c>
      <c r="P6" t="s">
        <v>36</v>
      </c>
    </row>
    <row r="7" spans="1:20" x14ac:dyDescent="0.3">
      <c r="B7" s="12" t="s">
        <v>1</v>
      </c>
      <c r="C7" s="6"/>
      <c r="D7" s="7"/>
      <c r="E7" s="8">
        <f>D7/2</f>
        <v>0</v>
      </c>
      <c r="F7" s="9"/>
      <c r="H7" s="3"/>
      <c r="I7" s="1"/>
      <c r="K7" s="6"/>
      <c r="L7" s="1"/>
      <c r="M7" s="1"/>
    </row>
    <row r="8" spans="1:20" x14ac:dyDescent="0.3">
      <c r="B8" s="12" t="s">
        <v>2</v>
      </c>
      <c r="C8" s="6"/>
      <c r="D8" s="7"/>
      <c r="E8" s="8">
        <f t="shared" ref="E8:E9" si="0">D8/2</f>
        <v>0</v>
      </c>
      <c r="F8" s="9"/>
      <c r="H8" s="3"/>
      <c r="I8" s="1"/>
      <c r="K8" s="6"/>
      <c r="L8" s="1"/>
      <c r="M8" s="1"/>
      <c r="P8" t="s">
        <v>22</v>
      </c>
    </row>
    <row r="9" spans="1:20" x14ac:dyDescent="0.3">
      <c r="B9" s="12" t="s">
        <v>3</v>
      </c>
      <c r="C9" s="6"/>
      <c r="D9" s="7"/>
      <c r="E9" s="8">
        <f t="shared" si="0"/>
        <v>0</v>
      </c>
      <c r="F9" s="9"/>
      <c r="H9" s="3"/>
      <c r="I9" s="1"/>
      <c r="K9" s="6"/>
      <c r="L9" s="1"/>
      <c r="M9" s="1"/>
      <c r="P9" t="s">
        <v>34</v>
      </c>
    </row>
    <row r="10" spans="1:20" x14ac:dyDescent="0.3">
      <c r="B10" s="12" t="s">
        <v>37</v>
      </c>
      <c r="C10" s="6"/>
      <c r="D10" s="7"/>
      <c r="E10" s="8">
        <f t="shared" ref="E10" si="1">D10/2</f>
        <v>0</v>
      </c>
      <c r="F10" s="9"/>
      <c r="H10" s="3"/>
      <c r="I10" s="1"/>
      <c r="K10" s="6"/>
      <c r="L10" s="1"/>
      <c r="M10" s="1"/>
      <c r="P10" t="s">
        <v>28</v>
      </c>
    </row>
    <row r="11" spans="1:20" x14ac:dyDescent="0.3">
      <c r="B11" s="12" t="s">
        <v>38</v>
      </c>
      <c r="C11" s="6">
        <f>Table21219[[#Totals],[Amount]]</f>
        <v>0</v>
      </c>
      <c r="D11" s="7"/>
      <c r="E11" s="10"/>
      <c r="F11" s="11">
        <f>$C11/2</f>
        <v>0</v>
      </c>
      <c r="H11" s="3"/>
      <c r="I11" s="1"/>
      <c r="K11" s="6"/>
      <c r="L11" s="1"/>
      <c r="M11" s="1"/>
      <c r="P11" t="s">
        <v>27</v>
      </c>
    </row>
    <row r="12" spans="1:20" x14ac:dyDescent="0.3">
      <c r="B12" s="12" t="s">
        <v>4</v>
      </c>
      <c r="C12" s="6"/>
      <c r="D12" s="7"/>
      <c r="E12" s="8">
        <f>D12/2</f>
        <v>0</v>
      </c>
      <c r="F12" s="9"/>
      <c r="H12" s="3"/>
      <c r="I12" s="1"/>
      <c r="K12" s="6"/>
      <c r="L12" s="1"/>
      <c r="M12" s="1"/>
      <c r="P12" t="s">
        <v>23</v>
      </c>
    </row>
    <row r="13" spans="1:20" x14ac:dyDescent="0.3">
      <c r="B13" s="12" t="s">
        <v>43</v>
      </c>
      <c r="C13" s="6"/>
      <c r="D13" s="7"/>
      <c r="E13" s="10"/>
      <c r="F13" s="11">
        <f>C13/2</f>
        <v>0</v>
      </c>
      <c r="H13" s="3"/>
      <c r="I13" s="1"/>
      <c r="K13" s="6"/>
      <c r="L13" s="1"/>
      <c r="M13" s="1"/>
      <c r="P13" t="s">
        <v>30</v>
      </c>
    </row>
    <row r="14" spans="1:20" x14ac:dyDescent="0.3">
      <c r="B14" s="12" t="s">
        <v>41</v>
      </c>
      <c r="C14" s="6"/>
      <c r="D14" s="7"/>
      <c r="E14" s="8">
        <v>69</v>
      </c>
      <c r="F14" s="9"/>
      <c r="H14" s="3"/>
      <c r="I14" s="1"/>
      <c r="K14" s="6"/>
      <c r="L14" s="1"/>
      <c r="M14" s="1"/>
      <c r="P14" t="s">
        <v>29</v>
      </c>
    </row>
    <row r="15" spans="1:20" x14ac:dyDescent="0.3">
      <c r="B15" s="12" t="s">
        <v>8</v>
      </c>
      <c r="C15" s="6"/>
      <c r="D15" s="7"/>
      <c r="E15" s="10"/>
      <c r="F15" s="11">
        <f>C15/2</f>
        <v>0</v>
      </c>
      <c r="H15" s="3"/>
      <c r="I15" s="1"/>
      <c r="K15" s="6"/>
      <c r="L15" s="1"/>
      <c r="M15" s="1"/>
      <c r="P15" t="s">
        <v>31</v>
      </c>
    </row>
    <row r="16" spans="1:20" x14ac:dyDescent="0.3">
      <c r="B16" s="12" t="s">
        <v>5</v>
      </c>
      <c r="C16" s="6"/>
      <c r="D16" s="7"/>
      <c r="E16" s="8">
        <f>D16/2</f>
        <v>0</v>
      </c>
      <c r="F16" s="9"/>
      <c r="H16" s="3"/>
      <c r="I16" s="1"/>
      <c r="K16" s="6"/>
      <c r="L16" s="1"/>
      <c r="M16" s="1"/>
      <c r="P16" t="s">
        <v>36</v>
      </c>
    </row>
    <row r="17" spans="2:17" x14ac:dyDescent="0.3">
      <c r="B17" s="12" t="s">
        <v>6</v>
      </c>
      <c r="C17" s="6"/>
      <c r="D17" s="7"/>
      <c r="E17" s="8">
        <f t="shared" ref="E17:E19" si="2">D17/2</f>
        <v>0</v>
      </c>
      <c r="F17" s="9"/>
      <c r="H17" s="3"/>
      <c r="I17" s="1"/>
      <c r="K17" s="6"/>
      <c r="L17" s="1"/>
      <c r="M17" s="1"/>
      <c r="P17" t="s">
        <v>25</v>
      </c>
    </row>
    <row r="18" spans="2:17" x14ac:dyDescent="0.3">
      <c r="B18" s="12" t="s">
        <v>7</v>
      </c>
      <c r="C18" s="6"/>
      <c r="D18" s="7"/>
      <c r="E18" s="8">
        <f t="shared" si="2"/>
        <v>0</v>
      </c>
      <c r="F18" s="9"/>
      <c r="H18" s="3"/>
      <c r="I18" s="1"/>
      <c r="K18" s="6"/>
      <c r="L18" s="1"/>
      <c r="M18" s="1"/>
      <c r="P18" t="s">
        <v>26</v>
      </c>
    </row>
    <row r="19" spans="2:17" x14ac:dyDescent="0.3">
      <c r="B19" s="12" t="s">
        <v>42</v>
      </c>
      <c r="C19" s="6"/>
      <c r="D19" s="7"/>
      <c r="E19" s="8">
        <f t="shared" si="2"/>
        <v>0</v>
      </c>
      <c r="F19" s="9"/>
      <c r="H19" s="3"/>
      <c r="I19" s="1"/>
      <c r="K19" s="6"/>
      <c r="L19" s="1"/>
      <c r="M19" s="1"/>
    </row>
    <row r="20" spans="2:17" x14ac:dyDescent="0.3">
      <c r="B20" s="12" t="s">
        <v>11</v>
      </c>
      <c r="C20" s="6">
        <f>Table41421[[#Totals],[Alma]]</f>
        <v>0</v>
      </c>
      <c r="D20" s="7">
        <f>Table41421[[#Totals],[Charlie]]</f>
        <v>0</v>
      </c>
      <c r="E20" s="8">
        <f>D20/2</f>
        <v>0</v>
      </c>
      <c r="F20" s="11">
        <f>C20/2</f>
        <v>0</v>
      </c>
      <c r="H20" s="3"/>
      <c r="I20" s="1"/>
      <c r="K20" s="6"/>
      <c r="L20" s="1"/>
      <c r="M20" s="1"/>
      <c r="P20" t="s">
        <v>33</v>
      </c>
    </row>
    <row r="21" spans="2:17" x14ac:dyDescent="0.3">
      <c r="B21" s="12" t="s">
        <v>12</v>
      </c>
      <c r="C21" s="6">
        <f>Table71522[[#Totals],[Alma]]</f>
        <v>0</v>
      </c>
      <c r="D21" s="7">
        <f>Table71522[[#Totals],[Charlie]]</f>
        <v>0</v>
      </c>
      <c r="E21" s="8">
        <f t="shared" ref="E21:E25" si="3">D21/2</f>
        <v>0</v>
      </c>
      <c r="F21" s="11">
        <f t="shared" ref="F21:F25" si="4">C21/2</f>
        <v>0</v>
      </c>
      <c r="H21" s="3"/>
      <c r="I21" s="1"/>
      <c r="K21" s="6"/>
      <c r="L21" s="1"/>
      <c r="M21" s="1"/>
      <c r="P21" t="s">
        <v>24</v>
      </c>
    </row>
    <row r="22" spans="2:17" x14ac:dyDescent="0.3">
      <c r="B22" s="12" t="s">
        <v>15</v>
      </c>
      <c r="C22" s="6">
        <f>Table91724[[#Totals],[Alma]]</f>
        <v>0</v>
      </c>
      <c r="D22" s="7">
        <f>Table91724[[#Totals],[Charlie]]</f>
        <v>0</v>
      </c>
      <c r="E22" s="8">
        <f t="shared" si="3"/>
        <v>0</v>
      </c>
      <c r="F22" s="11">
        <f t="shared" si="4"/>
        <v>0</v>
      </c>
      <c r="H22" t="s">
        <v>14</v>
      </c>
      <c r="I22" s="5">
        <f>SUBTOTAL(109,Table21219[Amount])</f>
        <v>0</v>
      </c>
      <c r="K22" s="2">
        <f>SUBTOTAL(109,Table41421[Alma])</f>
        <v>0</v>
      </c>
      <c r="L22" s="2">
        <f>SUBTOTAL(109,Table41421[Charlie])</f>
        <v>0</v>
      </c>
    </row>
    <row r="23" spans="2:17" x14ac:dyDescent="0.3">
      <c r="B23" s="12" t="s">
        <v>20</v>
      </c>
      <c r="C23" s="6">
        <f>Table31320[[#Totals],[Alma]]</f>
        <v>0</v>
      </c>
      <c r="D23" s="7">
        <f>Table31320[[#Totals],[Charlie]]</f>
        <v>0</v>
      </c>
      <c r="E23" s="8">
        <f t="shared" si="3"/>
        <v>0</v>
      </c>
      <c r="F23" s="11">
        <f t="shared" si="4"/>
        <v>0</v>
      </c>
    </row>
    <row r="24" spans="2:17" x14ac:dyDescent="0.3">
      <c r="B24" s="12" t="s">
        <v>51</v>
      </c>
      <c r="C24" s="6">
        <f>Table101825[[#Totals],[Alma]]</f>
        <v>0</v>
      </c>
      <c r="D24" s="7">
        <f>Table101825[[#Totals],[Charlie]]</f>
        <v>0</v>
      </c>
      <c r="E24" s="8">
        <f t="shared" si="3"/>
        <v>0</v>
      </c>
      <c r="F24" s="11">
        <f t="shared" si="4"/>
        <v>0</v>
      </c>
    </row>
    <row r="25" spans="2:17" x14ac:dyDescent="0.3">
      <c r="B25" s="12" t="s">
        <v>13</v>
      </c>
      <c r="C25" s="6">
        <f>Table81623[[#Totals],[Alma]]</f>
        <v>0</v>
      </c>
      <c r="D25" s="7">
        <f>Table81623[[#Totals],[Charlie]]</f>
        <v>0</v>
      </c>
      <c r="E25" s="8">
        <f t="shared" si="3"/>
        <v>0</v>
      </c>
      <c r="F25" s="11">
        <f t="shared" si="4"/>
        <v>0</v>
      </c>
    </row>
    <row r="26" spans="2:17" x14ac:dyDescent="0.3">
      <c r="C26" s="1"/>
      <c r="D26" s="1"/>
      <c r="F26" s="2"/>
    </row>
    <row r="27" spans="2:17" x14ac:dyDescent="0.3">
      <c r="B27" t="s">
        <v>14</v>
      </c>
      <c r="C27" s="1">
        <f>SUM(C6:C25)</f>
        <v>0</v>
      </c>
      <c r="D27" s="1">
        <f>SUM(D6:D25)</f>
        <v>0</v>
      </c>
      <c r="E27" s="2">
        <f>SUM(E6:E25)</f>
        <v>69</v>
      </c>
      <c r="F27" s="2">
        <f>SUM(F6:F25)</f>
        <v>0</v>
      </c>
      <c r="H27" t="s">
        <v>20</v>
      </c>
      <c r="K27" t="s">
        <v>12</v>
      </c>
      <c r="O27" t="s">
        <v>51</v>
      </c>
    </row>
    <row r="28" spans="2:17" x14ac:dyDescent="0.3">
      <c r="B28" t="s">
        <v>44</v>
      </c>
      <c r="C28" s="1"/>
      <c r="D28" s="1">
        <f>SUM(C27:D27)</f>
        <v>0</v>
      </c>
      <c r="E28" s="2"/>
      <c r="H28" t="s">
        <v>39</v>
      </c>
      <c r="I28" t="s">
        <v>40</v>
      </c>
      <c r="K28" t="s">
        <v>39</v>
      </c>
      <c r="L28" t="s">
        <v>40</v>
      </c>
      <c r="M28" t="s">
        <v>50</v>
      </c>
      <c r="O28" t="s">
        <v>39</v>
      </c>
      <c r="P28" t="s">
        <v>40</v>
      </c>
      <c r="Q28" t="s">
        <v>50</v>
      </c>
    </row>
    <row r="29" spans="2:17" x14ac:dyDescent="0.3">
      <c r="C29" s="1"/>
      <c r="D29" s="1"/>
      <c r="E29" s="2"/>
      <c r="H29" s="6"/>
      <c r="I29" s="1"/>
      <c r="K29" s="6"/>
      <c r="L29" s="1"/>
      <c r="M29" s="1"/>
      <c r="O29" s="10"/>
    </row>
    <row r="30" spans="2:17" x14ac:dyDescent="0.3">
      <c r="C30" s="1"/>
      <c r="D30" s="1"/>
      <c r="E30" s="2"/>
      <c r="H30" s="6"/>
      <c r="I30" s="1"/>
      <c r="K30" s="6"/>
      <c r="L30" s="1"/>
      <c r="M30" s="1"/>
      <c r="O30" s="10"/>
    </row>
    <row r="31" spans="2:17" x14ac:dyDescent="0.3">
      <c r="C31" s="1"/>
      <c r="D31" s="1"/>
      <c r="E31" s="2"/>
      <c r="H31" s="6"/>
      <c r="I31" s="1"/>
      <c r="K31" s="6"/>
      <c r="L31" s="1"/>
      <c r="M31" s="1"/>
      <c r="O31" s="10"/>
    </row>
    <row r="32" spans="2:17" x14ac:dyDescent="0.3">
      <c r="C32" s="1"/>
      <c r="D32" s="1"/>
      <c r="E32" s="2"/>
      <c r="H32" s="6"/>
      <c r="I32" s="1"/>
      <c r="K32" s="6"/>
      <c r="L32" s="1"/>
      <c r="M32" s="1"/>
      <c r="O32" s="10"/>
    </row>
    <row r="33" spans="3:17" x14ac:dyDescent="0.3">
      <c r="C33" s="1"/>
      <c r="D33" s="1"/>
      <c r="E33" s="2"/>
      <c r="H33" s="6"/>
      <c r="I33" s="1"/>
      <c r="K33" s="6"/>
      <c r="L33" s="1"/>
      <c r="M33" s="1"/>
      <c r="O33" s="10"/>
    </row>
    <row r="34" spans="3:17" x14ac:dyDescent="0.3">
      <c r="C34" s="1"/>
      <c r="D34" s="1"/>
      <c r="F34" s="2"/>
      <c r="H34" s="6"/>
      <c r="I34" s="1"/>
      <c r="K34" s="6"/>
      <c r="L34" s="1"/>
      <c r="M34" s="1"/>
      <c r="O34" s="10"/>
    </row>
    <row r="35" spans="3:17" x14ac:dyDescent="0.3">
      <c r="C35" s="1"/>
      <c r="D35" s="1"/>
      <c r="F35" s="2"/>
      <c r="H35" s="6"/>
      <c r="I35" s="1"/>
      <c r="K35" s="6"/>
      <c r="L35" s="1"/>
      <c r="M35" s="1"/>
      <c r="O35" s="10"/>
    </row>
    <row r="36" spans="3:17" x14ac:dyDescent="0.3">
      <c r="C36" s="1"/>
      <c r="D36" s="1"/>
      <c r="F36" s="2"/>
      <c r="H36" s="6"/>
      <c r="I36" s="1"/>
      <c r="K36" s="6"/>
      <c r="L36" s="1"/>
      <c r="M36" s="1"/>
      <c r="O36" s="10"/>
    </row>
    <row r="37" spans="3:17" x14ac:dyDescent="0.3">
      <c r="C37" s="1"/>
      <c r="D37" s="1"/>
      <c r="F37" s="2"/>
      <c r="H37" s="6"/>
      <c r="I37" s="1"/>
      <c r="K37" s="6"/>
      <c r="L37" s="1"/>
      <c r="M37" s="1"/>
      <c r="O37" s="10"/>
    </row>
    <row r="38" spans="3:17" x14ac:dyDescent="0.3">
      <c r="C38" s="1"/>
      <c r="D38" s="1"/>
      <c r="F38" s="2"/>
      <c r="H38" s="6"/>
      <c r="I38" s="1"/>
      <c r="K38" s="6"/>
      <c r="L38" s="1"/>
      <c r="M38" s="1"/>
      <c r="O38" s="10"/>
    </row>
    <row r="39" spans="3:17" x14ac:dyDescent="0.3">
      <c r="C39" s="1"/>
      <c r="D39" s="1"/>
      <c r="E39" s="2"/>
      <c r="H39" s="6"/>
      <c r="I39" s="1"/>
      <c r="K39" s="6"/>
      <c r="L39" s="1"/>
      <c r="M39" s="1"/>
      <c r="O39" s="10"/>
    </row>
    <row r="40" spans="3:17" x14ac:dyDescent="0.3">
      <c r="C40" s="1"/>
      <c r="D40" s="1"/>
      <c r="E40" s="2"/>
      <c r="H40" s="6"/>
      <c r="I40" s="1"/>
      <c r="K40" s="6"/>
      <c r="L40" s="1"/>
      <c r="M40" s="1"/>
      <c r="O40" s="10"/>
    </row>
    <row r="41" spans="3:17" x14ac:dyDescent="0.3">
      <c r="C41" s="1"/>
      <c r="D41" s="1"/>
      <c r="E41" s="2"/>
      <c r="H41" s="6"/>
      <c r="I41" s="1"/>
      <c r="K41" s="6"/>
      <c r="L41" s="1"/>
      <c r="M41" s="1"/>
      <c r="O41" s="10"/>
    </row>
    <row r="42" spans="3:17" x14ac:dyDescent="0.3">
      <c r="C42" s="1"/>
      <c r="D42" s="1"/>
      <c r="E42" s="2"/>
      <c r="H42" s="6"/>
      <c r="I42" s="1"/>
      <c r="K42" s="6"/>
      <c r="L42" s="1"/>
      <c r="M42" s="1"/>
      <c r="O42" s="10"/>
    </row>
    <row r="43" spans="3:17" x14ac:dyDescent="0.3">
      <c r="C43" s="1"/>
      <c r="D43" s="1"/>
      <c r="F43" s="2"/>
      <c r="H43" s="6"/>
      <c r="I43" s="1"/>
      <c r="K43" s="6"/>
      <c r="L43" s="1"/>
      <c r="M43" s="1"/>
      <c r="O43" s="10"/>
    </row>
    <row r="44" spans="3:17" x14ac:dyDescent="0.3">
      <c r="C44" s="1"/>
      <c r="D44" s="1"/>
      <c r="F44" s="2"/>
      <c r="H44" s="11">
        <f>SUBTOTAL(109,Table31320[Alma])</f>
        <v>0</v>
      </c>
      <c r="I44" s="2">
        <f>SUBTOTAL(109,Table31320[Charlie])</f>
        <v>0</v>
      </c>
      <c r="K44" s="1">
        <f>SUBTOTAL(109,Table71522[Alma])</f>
        <v>0</v>
      </c>
      <c r="L44" s="1">
        <f>SUBTOTAL(103,Table71522[Charlie])</f>
        <v>0</v>
      </c>
      <c r="O44">
        <f>SUBTOTAL(109,Table101825[Alma])</f>
        <v>0</v>
      </c>
      <c r="P44">
        <f>SUBTOTAL(109,Table101825[Charlie])</f>
        <v>0</v>
      </c>
      <c r="Q44">
        <f>SUBTOTAL(103,Table101825[Comments])</f>
        <v>0</v>
      </c>
    </row>
    <row r="45" spans="3:17" x14ac:dyDescent="0.3">
      <c r="C45" s="1"/>
      <c r="D45" s="1"/>
      <c r="F45" s="2"/>
    </row>
    <row r="46" spans="3:17" x14ac:dyDescent="0.3">
      <c r="C46" s="1"/>
      <c r="D46" s="1"/>
      <c r="F46" s="2"/>
      <c r="H46" t="s">
        <v>49</v>
      </c>
      <c r="L46" t="s">
        <v>15</v>
      </c>
    </row>
    <row r="47" spans="3:17" x14ac:dyDescent="0.3">
      <c r="C47" s="1"/>
      <c r="D47" s="1"/>
      <c r="F47" s="2"/>
      <c r="H47" t="s">
        <v>39</v>
      </c>
      <c r="I47" t="s">
        <v>40</v>
      </c>
      <c r="J47" t="s">
        <v>50</v>
      </c>
      <c r="L47" t="s">
        <v>39</v>
      </c>
      <c r="M47" t="s">
        <v>40</v>
      </c>
      <c r="N47" t="s">
        <v>50</v>
      </c>
    </row>
    <row r="48" spans="3:17" x14ac:dyDescent="0.3">
      <c r="C48" s="1"/>
      <c r="D48" s="1"/>
      <c r="E48" s="2"/>
      <c r="H48" s="6"/>
      <c r="I48" s="1"/>
      <c r="L48" s="6"/>
      <c r="M48" s="1"/>
      <c r="N48" s="1"/>
    </row>
    <row r="49" spans="3:14" x14ac:dyDescent="0.3">
      <c r="C49" s="1"/>
      <c r="D49" s="1"/>
      <c r="E49" s="2"/>
      <c r="H49" s="6"/>
      <c r="I49" s="1"/>
      <c r="L49" s="6"/>
      <c r="M49" s="1"/>
      <c r="N49" s="1"/>
    </row>
    <row r="50" spans="3:14" x14ac:dyDescent="0.3">
      <c r="C50" s="1"/>
      <c r="D50" s="1"/>
      <c r="E50" s="2"/>
      <c r="H50" s="6"/>
      <c r="I50" s="1"/>
      <c r="L50" s="6"/>
      <c r="M50" s="1"/>
      <c r="N50" s="1"/>
    </row>
    <row r="51" spans="3:14" x14ac:dyDescent="0.3">
      <c r="C51" s="1"/>
      <c r="D51" s="1"/>
      <c r="E51" s="2"/>
      <c r="H51" s="6"/>
      <c r="I51" s="1"/>
      <c r="L51" s="6"/>
      <c r="M51" s="1"/>
      <c r="N51" s="1"/>
    </row>
    <row r="52" spans="3:14" x14ac:dyDescent="0.3">
      <c r="C52" s="1"/>
      <c r="D52" s="1"/>
      <c r="E52" s="2"/>
      <c r="H52" s="6"/>
      <c r="I52" s="1"/>
      <c r="L52" s="6"/>
      <c r="M52" s="1"/>
      <c r="N52" s="1"/>
    </row>
    <row r="53" spans="3:14" x14ac:dyDescent="0.3">
      <c r="C53" s="1"/>
      <c r="D53" s="1"/>
      <c r="F53" s="2"/>
      <c r="H53" s="6"/>
      <c r="I53" s="1"/>
      <c r="L53" s="6"/>
      <c r="M53" s="1"/>
      <c r="N53" s="1"/>
    </row>
    <row r="54" spans="3:14" x14ac:dyDescent="0.3">
      <c r="C54" s="1"/>
      <c r="D54" s="1"/>
      <c r="F54" s="2"/>
      <c r="H54" s="6"/>
      <c r="I54" s="1"/>
      <c r="L54" s="6"/>
      <c r="M54" s="1"/>
      <c r="N54" s="1"/>
    </row>
    <row r="55" spans="3:14" x14ac:dyDescent="0.3">
      <c r="C55" s="1"/>
      <c r="D55" s="1"/>
      <c r="F55" s="2"/>
      <c r="H55" s="6"/>
      <c r="I55" s="1"/>
      <c r="L55" s="6"/>
      <c r="M55" s="1"/>
      <c r="N55" s="1"/>
    </row>
    <row r="56" spans="3:14" x14ac:dyDescent="0.3">
      <c r="C56" s="1"/>
      <c r="D56" s="1"/>
      <c r="F56" s="2"/>
      <c r="H56" s="6"/>
      <c r="I56" s="1"/>
      <c r="L56" s="6"/>
      <c r="M56" s="1"/>
      <c r="N56" s="1"/>
    </row>
    <row r="57" spans="3:14" x14ac:dyDescent="0.3">
      <c r="C57" s="1"/>
      <c r="D57" s="1"/>
      <c r="E57" s="2"/>
      <c r="H57" s="6"/>
      <c r="I57" s="1"/>
      <c r="L57" s="6"/>
      <c r="M57" s="1"/>
      <c r="N57" s="1"/>
    </row>
    <row r="58" spans="3:14" x14ac:dyDescent="0.3">
      <c r="C58" s="1"/>
      <c r="D58" s="1"/>
      <c r="E58" s="2"/>
      <c r="H58" s="6"/>
      <c r="I58" s="1"/>
      <c r="L58" s="6"/>
      <c r="M58" s="1"/>
      <c r="N58" s="1"/>
    </row>
    <row r="59" spans="3:14" x14ac:dyDescent="0.3">
      <c r="C59" s="1"/>
      <c r="D59" s="1"/>
      <c r="E59" s="2"/>
      <c r="H59" s="6"/>
      <c r="I59" s="1"/>
      <c r="L59" s="6"/>
      <c r="M59" s="1"/>
      <c r="N59" s="1"/>
    </row>
    <row r="60" spans="3:14" x14ac:dyDescent="0.3">
      <c r="C60" s="1"/>
      <c r="D60" s="1"/>
      <c r="E60" s="2"/>
      <c r="H60" s="6"/>
      <c r="I60" s="1"/>
      <c r="L60" s="6"/>
      <c r="M60" s="1"/>
      <c r="N60" s="1"/>
    </row>
    <row r="61" spans="3:14" x14ac:dyDescent="0.3">
      <c r="C61" s="1"/>
      <c r="D61" s="1"/>
      <c r="F61" s="2"/>
      <c r="H61" s="6"/>
      <c r="I61" s="1"/>
      <c r="L61" s="6"/>
      <c r="M61" s="1"/>
      <c r="N61" s="1"/>
    </row>
    <row r="62" spans="3:14" x14ac:dyDescent="0.3">
      <c r="C62" s="1"/>
      <c r="D62" s="1"/>
      <c r="F62" s="2"/>
      <c r="H62" s="6"/>
      <c r="I62" s="1"/>
      <c r="L62" s="6"/>
      <c r="M62" s="1"/>
      <c r="N62" s="1"/>
    </row>
    <row r="63" spans="3:14" x14ac:dyDescent="0.3">
      <c r="C63" s="1"/>
      <c r="D63" s="1"/>
      <c r="F63" s="2"/>
      <c r="H63" s="4">
        <f>SUBTOTAL(109,Table81623[Alma])</f>
        <v>0</v>
      </c>
      <c r="I63" s="4">
        <f>SUBTOTAL(109,Table81623[Charlie])</f>
        <v>0</v>
      </c>
      <c r="J63" s="1"/>
      <c r="L63" s="1">
        <f>SUBTOTAL(109,Table91724[Alma])</f>
        <v>0</v>
      </c>
      <c r="M63" s="1">
        <f>SUBTOTAL(109,Table91724[Charlie])</f>
        <v>0</v>
      </c>
      <c r="N63" s="1"/>
    </row>
    <row r="64" spans="3:14" x14ac:dyDescent="0.3">
      <c r="C64" s="1"/>
      <c r="D64" s="1"/>
      <c r="F64" s="2"/>
    </row>
    <row r="65" spans="3:5" x14ac:dyDescent="0.3">
      <c r="C65" s="1"/>
      <c r="D65" s="1"/>
      <c r="E65" s="2"/>
    </row>
    <row r="66" spans="3:5" x14ac:dyDescent="0.3">
      <c r="C66" s="1"/>
      <c r="D66" s="1"/>
      <c r="E66" s="2"/>
    </row>
    <row r="67" spans="3:5" x14ac:dyDescent="0.3">
      <c r="C67" s="1"/>
      <c r="D67" s="1"/>
      <c r="E67" s="2"/>
    </row>
    <row r="68" spans="3:5" x14ac:dyDescent="0.3">
      <c r="C68" s="1"/>
      <c r="D68" s="1"/>
      <c r="E68" s="2"/>
    </row>
    <row r="69" spans="3:5" x14ac:dyDescent="0.3">
      <c r="C69" s="2"/>
      <c r="D69" s="2"/>
      <c r="E69" s="2"/>
    </row>
    <row r="70" spans="3:5" x14ac:dyDescent="0.3">
      <c r="D70" s="2"/>
    </row>
  </sheetData>
  <dataValidations count="1">
    <dataValidation type="list" allowBlank="1" showInputMessage="1" showErrorMessage="1" sqref="M7:M21" xr:uid="{12A25FDA-5DF7-4729-A3AA-F5B6ACB201AD}">
      <formula1>$P$3:$P$6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16EB-5F7B-4C17-9965-9C3E4394BC2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4E38-ADE8-4938-846F-99A5A703FF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2B30-E744-491A-BA89-4A2BE84FF3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46E7-7712-4F5C-8D27-1BD2288B9D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955F-7AEF-4895-AF46-8B971A71BD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799F-8EEE-483A-B8EC-14F658E62BAF}">
  <dimension ref="A3:T70"/>
  <sheetViews>
    <sheetView topLeftCell="A4" workbookViewId="0">
      <selection activeCell="E12" sqref="E12"/>
    </sheetView>
  </sheetViews>
  <sheetFormatPr defaultRowHeight="14.4" x14ac:dyDescent="0.3"/>
  <cols>
    <col min="2" max="2" width="19.88671875" bestFit="1" customWidth="1"/>
    <col min="3" max="3" width="10.109375" bestFit="1" customWidth="1"/>
    <col min="4" max="4" width="10.5546875" bestFit="1" customWidth="1"/>
    <col min="5" max="5" width="10.109375" bestFit="1" customWidth="1"/>
    <col min="6" max="6" width="11.6640625" bestFit="1" customWidth="1"/>
    <col min="8" max="13" width="10.44140625" customWidth="1"/>
    <col min="15" max="16" width="10.44140625" customWidth="1"/>
    <col min="17" max="17" width="16.33203125" bestFit="1" customWidth="1"/>
  </cols>
  <sheetData>
    <row r="3" spans="1:20" x14ac:dyDescent="0.3">
      <c r="P3" t="s">
        <v>19</v>
      </c>
      <c r="Q3" t="s">
        <v>35</v>
      </c>
      <c r="T3">
        <v>225</v>
      </c>
    </row>
    <row r="4" spans="1:20" x14ac:dyDescent="0.3">
      <c r="P4" t="s">
        <v>18</v>
      </c>
      <c r="Q4" t="s">
        <v>21</v>
      </c>
      <c r="T4">
        <v>39</v>
      </c>
    </row>
    <row r="5" spans="1:20" x14ac:dyDescent="0.3">
      <c r="A5" t="s">
        <v>16</v>
      </c>
      <c r="C5" t="s">
        <v>9</v>
      </c>
      <c r="D5" t="s">
        <v>10</v>
      </c>
      <c r="E5" t="s">
        <v>45</v>
      </c>
      <c r="F5" t="s">
        <v>46</v>
      </c>
      <c r="H5" t="s">
        <v>47</v>
      </c>
      <c r="K5" t="s">
        <v>11</v>
      </c>
      <c r="P5" t="s">
        <v>17</v>
      </c>
      <c r="Q5" t="s">
        <v>32</v>
      </c>
    </row>
    <row r="6" spans="1:20" x14ac:dyDescent="0.3">
      <c r="B6" t="s">
        <v>0</v>
      </c>
      <c r="C6" s="1">
        <v>1585</v>
      </c>
      <c r="D6" s="1"/>
      <c r="E6" s="2"/>
      <c r="F6" s="1">
        <f>$C6/2</f>
        <v>792.5</v>
      </c>
      <c r="H6" t="s">
        <v>16</v>
      </c>
      <c r="I6" t="s">
        <v>48</v>
      </c>
      <c r="K6" t="s">
        <v>39</v>
      </c>
      <c r="L6" t="s">
        <v>40</v>
      </c>
      <c r="P6" t="s">
        <v>22</v>
      </c>
    </row>
    <row r="7" spans="1:20" x14ac:dyDescent="0.3">
      <c r="B7" t="s">
        <v>1</v>
      </c>
      <c r="C7" s="1"/>
      <c r="D7" s="1">
        <v>150.77000000000001</v>
      </c>
      <c r="E7" s="2">
        <f>D7/2</f>
        <v>75.385000000000005</v>
      </c>
      <c r="H7" s="3"/>
      <c r="I7" s="1">
        <v>64</v>
      </c>
      <c r="K7" s="1"/>
      <c r="L7" s="1"/>
      <c r="P7" t="s">
        <v>34</v>
      </c>
    </row>
    <row r="8" spans="1:20" x14ac:dyDescent="0.3">
      <c r="B8" t="s">
        <v>2</v>
      </c>
      <c r="C8" s="1"/>
      <c r="D8" s="1">
        <v>20</v>
      </c>
      <c r="E8" s="2">
        <f t="shared" ref="E8:E10" si="0">D8/2</f>
        <v>10</v>
      </c>
      <c r="H8" s="3"/>
      <c r="I8" s="1">
        <v>64</v>
      </c>
      <c r="K8" s="1"/>
      <c r="L8" s="1"/>
      <c r="P8" t="s">
        <v>28</v>
      </c>
    </row>
    <row r="9" spans="1:20" x14ac:dyDescent="0.3">
      <c r="B9" t="s">
        <v>3</v>
      </c>
      <c r="C9" s="1"/>
      <c r="D9" s="1">
        <v>102.3</v>
      </c>
      <c r="E9" s="2">
        <f t="shared" si="0"/>
        <v>51.15</v>
      </c>
      <c r="H9" s="3"/>
      <c r="I9" s="1">
        <v>204</v>
      </c>
      <c r="K9" s="1"/>
      <c r="L9" s="1"/>
      <c r="P9" t="s">
        <v>27</v>
      </c>
    </row>
    <row r="10" spans="1:20" x14ac:dyDescent="0.3">
      <c r="B10" t="s">
        <v>37</v>
      </c>
      <c r="C10" s="1"/>
      <c r="D10" s="1"/>
      <c r="E10" s="2">
        <f t="shared" si="0"/>
        <v>0</v>
      </c>
      <c r="H10" s="3"/>
      <c r="I10" s="1">
        <v>136</v>
      </c>
      <c r="K10" s="1"/>
      <c r="L10" s="1"/>
      <c r="P10" t="s">
        <v>23</v>
      </c>
    </row>
    <row r="11" spans="1:20" x14ac:dyDescent="0.3">
      <c r="B11" t="s">
        <v>38</v>
      </c>
      <c r="C11" s="1">
        <f>Table2[[#Totals],[Amount]]</f>
        <v>913</v>
      </c>
      <c r="D11" s="1"/>
      <c r="F11" s="2">
        <f>$C11/2</f>
        <v>456.5</v>
      </c>
      <c r="H11" s="3"/>
      <c r="I11" s="1">
        <v>140</v>
      </c>
      <c r="K11" s="1"/>
      <c r="L11" s="1"/>
      <c r="P11" t="s">
        <v>30</v>
      </c>
    </row>
    <row r="12" spans="1:20" x14ac:dyDescent="0.3">
      <c r="B12" t="s">
        <v>4</v>
      </c>
      <c r="C12" s="1"/>
      <c r="D12" s="1">
        <v>214.33</v>
      </c>
      <c r="E12" s="2">
        <f>D12/2</f>
        <v>107.16500000000001</v>
      </c>
      <c r="H12" s="3"/>
      <c r="I12" s="1">
        <v>85</v>
      </c>
      <c r="K12" s="1"/>
      <c r="L12" s="1"/>
      <c r="P12" t="s">
        <v>29</v>
      </c>
    </row>
    <row r="13" spans="1:20" x14ac:dyDescent="0.3">
      <c r="B13" t="s">
        <v>43</v>
      </c>
      <c r="C13" s="1"/>
      <c r="D13" s="1"/>
      <c r="F13" s="2">
        <f>C13/2</f>
        <v>0</v>
      </c>
      <c r="H13" s="3"/>
      <c r="I13" s="1">
        <v>120</v>
      </c>
      <c r="K13" s="1"/>
      <c r="L13" s="1"/>
    </row>
    <row r="14" spans="1:20" x14ac:dyDescent="0.3">
      <c r="B14" t="s">
        <v>41</v>
      </c>
      <c r="C14" s="1"/>
      <c r="D14" s="1">
        <v>69</v>
      </c>
      <c r="E14" s="2">
        <f>D14</f>
        <v>69</v>
      </c>
      <c r="H14" s="3"/>
      <c r="I14" s="1">
        <v>100</v>
      </c>
      <c r="K14" s="1"/>
      <c r="L14" s="1"/>
    </row>
    <row r="15" spans="1:20" x14ac:dyDescent="0.3">
      <c r="B15" t="s">
        <v>8</v>
      </c>
      <c r="C15" s="1"/>
      <c r="D15" s="1"/>
      <c r="F15" s="2">
        <f>C15/2</f>
        <v>0</v>
      </c>
      <c r="H15" s="3"/>
      <c r="I15" s="1"/>
      <c r="K15" s="1"/>
      <c r="L15" s="1"/>
      <c r="P15" t="s">
        <v>31</v>
      </c>
    </row>
    <row r="16" spans="1:20" x14ac:dyDescent="0.3">
      <c r="B16" t="s">
        <v>5</v>
      </c>
      <c r="C16" s="1"/>
      <c r="D16" s="1"/>
      <c r="E16" s="2">
        <f>D16/2</f>
        <v>0</v>
      </c>
      <c r="H16" s="3"/>
      <c r="I16" s="1"/>
      <c r="K16" s="1"/>
      <c r="L16" s="1"/>
      <c r="P16" t="s">
        <v>36</v>
      </c>
    </row>
    <row r="17" spans="2:17" x14ac:dyDescent="0.3">
      <c r="B17" t="s">
        <v>6</v>
      </c>
      <c r="C17" s="1"/>
      <c r="D17" s="1"/>
      <c r="E17" s="2">
        <f t="shared" ref="E17:E19" si="1">D17/2</f>
        <v>0</v>
      </c>
      <c r="H17" s="3"/>
      <c r="I17" s="1"/>
      <c r="K17" s="1"/>
      <c r="L17" s="1"/>
      <c r="P17" t="s">
        <v>25</v>
      </c>
    </row>
    <row r="18" spans="2:17" x14ac:dyDescent="0.3">
      <c r="B18" t="s">
        <v>7</v>
      </c>
      <c r="C18" s="1"/>
      <c r="D18" s="1"/>
      <c r="E18" s="2">
        <f t="shared" si="1"/>
        <v>0</v>
      </c>
      <c r="H18" s="3"/>
      <c r="I18" s="1"/>
      <c r="K18" s="1"/>
      <c r="L18" s="1"/>
      <c r="P18" t="s">
        <v>26</v>
      </c>
    </row>
    <row r="19" spans="2:17" x14ac:dyDescent="0.3">
      <c r="B19" t="s">
        <v>42</v>
      </c>
      <c r="C19" s="1"/>
      <c r="D19" s="1"/>
      <c r="E19" s="2">
        <f t="shared" si="1"/>
        <v>0</v>
      </c>
      <c r="H19" s="3"/>
      <c r="I19" s="1"/>
      <c r="K19" s="1"/>
      <c r="L19" s="1"/>
    </row>
    <row r="20" spans="2:17" x14ac:dyDescent="0.3">
      <c r="B20" t="s">
        <v>11</v>
      </c>
      <c r="C20" s="1">
        <f>Table4[[#Totals],[Alma]]</f>
        <v>0</v>
      </c>
      <c r="D20" s="1">
        <f>Table4[[#Totals],[Charlie]]</f>
        <v>0</v>
      </c>
      <c r="E20" s="2">
        <f>D20/2</f>
        <v>0</v>
      </c>
      <c r="F20" s="2">
        <f>C20/2</f>
        <v>0</v>
      </c>
      <c r="H20" s="3"/>
      <c r="I20" s="1"/>
      <c r="K20" s="1"/>
      <c r="L20" s="1"/>
      <c r="P20" t="s">
        <v>33</v>
      </c>
    </row>
    <row r="21" spans="2:17" x14ac:dyDescent="0.3">
      <c r="B21" t="s">
        <v>12</v>
      </c>
      <c r="C21" s="1">
        <f>Table7[[#Totals],[Alma]]</f>
        <v>0</v>
      </c>
      <c r="D21" s="1">
        <f>Table7[[#Totals],[Charlie]]</f>
        <v>0</v>
      </c>
      <c r="E21" s="2">
        <f t="shared" ref="E21:E25" si="2">D21/2</f>
        <v>0</v>
      </c>
      <c r="F21" s="2">
        <f t="shared" ref="F21:F25" si="3">C21/2</f>
        <v>0</v>
      </c>
      <c r="H21" s="3"/>
      <c r="I21" s="1"/>
      <c r="K21" s="1"/>
      <c r="L21" s="1"/>
      <c r="P21" t="s">
        <v>24</v>
      </c>
    </row>
    <row r="22" spans="2:17" x14ac:dyDescent="0.3">
      <c r="B22" t="s">
        <v>15</v>
      </c>
      <c r="C22" s="1">
        <f>Table9[[#Totals],[Alma]]</f>
        <v>0</v>
      </c>
      <c r="D22" s="1">
        <f>Table9[[#Totals],[Charlie]]</f>
        <v>0</v>
      </c>
      <c r="E22" s="2">
        <f t="shared" si="2"/>
        <v>0</v>
      </c>
      <c r="F22" s="2">
        <f t="shared" si="3"/>
        <v>0</v>
      </c>
      <c r="H22" t="s">
        <v>14</v>
      </c>
      <c r="I22" s="5">
        <f>SUBTOTAL(109,Table2[Amount])</f>
        <v>913</v>
      </c>
      <c r="K22" s="2">
        <f>SUBTOTAL(109,Table4[Alma])</f>
        <v>0</v>
      </c>
      <c r="L22" s="2">
        <f>SUBTOTAL(109,Table4[Charlie])</f>
        <v>0</v>
      </c>
    </row>
    <row r="23" spans="2:17" x14ac:dyDescent="0.3">
      <c r="B23" t="s">
        <v>20</v>
      </c>
      <c r="C23" s="1">
        <f>Table3[[#Totals],[Alma]]</f>
        <v>0</v>
      </c>
      <c r="D23" s="1">
        <f>Table3[[#Totals],[Charlie]]</f>
        <v>0</v>
      </c>
      <c r="E23" s="2">
        <f t="shared" si="2"/>
        <v>0</v>
      </c>
      <c r="F23" s="2">
        <f t="shared" si="3"/>
        <v>0</v>
      </c>
    </row>
    <row r="24" spans="2:17" x14ac:dyDescent="0.3">
      <c r="B24" t="s">
        <v>51</v>
      </c>
      <c r="C24" s="1">
        <f>Table10[[#Totals],[Alma]]</f>
        <v>0</v>
      </c>
      <c r="D24" s="1">
        <f>Table10[[#Totals],[Charlie]]</f>
        <v>0</v>
      </c>
      <c r="E24" s="2">
        <f t="shared" si="2"/>
        <v>0</v>
      </c>
      <c r="F24" s="2">
        <f t="shared" si="3"/>
        <v>0</v>
      </c>
    </row>
    <row r="25" spans="2:17" x14ac:dyDescent="0.3">
      <c r="B25" t="s">
        <v>13</v>
      </c>
      <c r="C25" s="1">
        <f>Table8[[#Totals],[Alma]]</f>
        <v>248.60999999999999</v>
      </c>
      <c r="D25" s="1">
        <f>Table8[[#Totals],[Charlie]]</f>
        <v>0</v>
      </c>
      <c r="E25" s="2">
        <f t="shared" si="2"/>
        <v>0</v>
      </c>
      <c r="F25" s="2">
        <f t="shared" si="3"/>
        <v>124.30499999999999</v>
      </c>
    </row>
    <row r="26" spans="2:17" x14ac:dyDescent="0.3">
      <c r="C26" s="1"/>
      <c r="D26" s="1"/>
      <c r="F26" s="2"/>
    </row>
    <row r="27" spans="2:17" x14ac:dyDescent="0.3">
      <c r="B27" t="s">
        <v>14</v>
      </c>
      <c r="C27" s="1">
        <f>SUM(C6:C25)</f>
        <v>2746.61</v>
      </c>
      <c r="D27" s="1">
        <f>SUM(D6:D25)</f>
        <v>556.4</v>
      </c>
      <c r="E27" s="2">
        <f>SUM(E6:E25)</f>
        <v>312.7</v>
      </c>
      <c r="F27" s="2">
        <f>SUM(F6:F25)</f>
        <v>1373.3050000000001</v>
      </c>
      <c r="H27" t="s">
        <v>20</v>
      </c>
      <c r="K27" t="s">
        <v>12</v>
      </c>
      <c r="O27" t="s">
        <v>51</v>
      </c>
    </row>
    <row r="28" spans="2:17" x14ac:dyDescent="0.3">
      <c r="B28" t="s">
        <v>44</v>
      </c>
      <c r="C28" s="1"/>
      <c r="D28" s="1">
        <f>SUM(C27:D27)</f>
        <v>3303.01</v>
      </c>
      <c r="E28" s="2"/>
      <c r="H28" t="s">
        <v>39</v>
      </c>
      <c r="I28" t="s">
        <v>40</v>
      </c>
      <c r="K28" t="s">
        <v>39</v>
      </c>
      <c r="L28" t="s">
        <v>40</v>
      </c>
      <c r="M28" t="s">
        <v>50</v>
      </c>
      <c r="O28" t="s">
        <v>39</v>
      </c>
      <c r="P28" t="s">
        <v>40</v>
      </c>
      <c r="Q28" t="s">
        <v>50</v>
      </c>
    </row>
    <row r="29" spans="2:17" x14ac:dyDescent="0.3">
      <c r="C29" s="1"/>
      <c r="D29" s="1"/>
      <c r="E29" s="2"/>
      <c r="H29" s="1"/>
      <c r="I29" s="1"/>
      <c r="K29" s="1"/>
      <c r="L29" s="1"/>
      <c r="M29" s="1"/>
    </row>
    <row r="30" spans="2:17" x14ac:dyDescent="0.3">
      <c r="C30" s="1"/>
      <c r="D30" s="1"/>
      <c r="E30" s="2"/>
      <c r="H30" s="1"/>
      <c r="I30" s="1"/>
      <c r="K30" s="1"/>
      <c r="L30" s="1"/>
      <c r="M30" s="1"/>
    </row>
    <row r="31" spans="2:17" x14ac:dyDescent="0.3">
      <c r="C31" s="1"/>
      <c r="D31" s="1"/>
      <c r="E31" s="2"/>
      <c r="H31" s="1"/>
      <c r="I31" s="1"/>
      <c r="K31" s="1"/>
      <c r="L31" s="1"/>
      <c r="M31" s="1"/>
    </row>
    <row r="32" spans="2:17" x14ac:dyDescent="0.3">
      <c r="C32" s="1"/>
      <c r="D32" s="1"/>
      <c r="E32" s="2"/>
      <c r="H32" s="1"/>
      <c r="I32" s="1"/>
      <c r="K32" s="1"/>
      <c r="L32" s="1"/>
      <c r="M32" s="1"/>
    </row>
    <row r="33" spans="3:17" x14ac:dyDescent="0.3">
      <c r="C33" s="1"/>
      <c r="D33" s="1"/>
      <c r="E33" s="2"/>
      <c r="H33" s="1"/>
      <c r="I33" s="1"/>
      <c r="K33" s="1"/>
      <c r="L33" s="1"/>
      <c r="M33" s="1"/>
    </row>
    <row r="34" spans="3:17" x14ac:dyDescent="0.3">
      <c r="C34" s="1"/>
      <c r="D34" s="1"/>
      <c r="F34" s="2"/>
      <c r="H34" s="1"/>
      <c r="I34" s="1"/>
      <c r="K34" s="1"/>
      <c r="L34" s="1"/>
      <c r="M34" s="1"/>
    </row>
    <row r="35" spans="3:17" x14ac:dyDescent="0.3">
      <c r="C35" s="1"/>
      <c r="D35" s="1"/>
      <c r="F35" s="2"/>
      <c r="H35" s="1"/>
      <c r="I35" s="1"/>
      <c r="K35" s="1"/>
      <c r="L35" s="1"/>
      <c r="M35" s="1"/>
    </row>
    <row r="36" spans="3:17" x14ac:dyDescent="0.3">
      <c r="C36" s="1"/>
      <c r="D36" s="1"/>
      <c r="F36" s="2"/>
      <c r="H36" s="1"/>
      <c r="I36" s="1"/>
      <c r="K36" s="1"/>
      <c r="L36" s="1"/>
      <c r="M36" s="1"/>
    </row>
    <row r="37" spans="3:17" x14ac:dyDescent="0.3">
      <c r="C37" s="1"/>
      <c r="D37" s="1"/>
      <c r="F37" s="2"/>
      <c r="H37" s="1"/>
      <c r="I37" s="1"/>
      <c r="K37" s="1"/>
      <c r="L37" s="1"/>
      <c r="M37" s="1"/>
    </row>
    <row r="38" spans="3:17" x14ac:dyDescent="0.3">
      <c r="C38" s="1"/>
      <c r="D38" s="1"/>
      <c r="F38" s="2"/>
      <c r="H38" s="1"/>
      <c r="I38" s="1"/>
      <c r="K38" s="1"/>
      <c r="L38" s="1"/>
      <c r="M38" s="1"/>
    </row>
    <row r="39" spans="3:17" x14ac:dyDescent="0.3">
      <c r="C39" s="1"/>
      <c r="D39" s="1"/>
      <c r="E39" s="2"/>
      <c r="H39" s="1"/>
      <c r="I39" s="1"/>
      <c r="K39" s="1"/>
      <c r="L39" s="1"/>
      <c r="M39" s="1"/>
    </row>
    <row r="40" spans="3:17" x14ac:dyDescent="0.3">
      <c r="C40" s="1"/>
      <c r="D40" s="1"/>
      <c r="E40" s="2"/>
      <c r="H40" s="1"/>
      <c r="I40" s="1"/>
      <c r="K40" s="1"/>
      <c r="L40" s="1"/>
      <c r="M40" s="1"/>
    </row>
    <row r="41" spans="3:17" x14ac:dyDescent="0.3">
      <c r="C41" s="1"/>
      <c r="D41" s="1"/>
      <c r="E41" s="2"/>
      <c r="H41" s="1"/>
      <c r="I41" s="1"/>
      <c r="K41" s="1"/>
      <c r="L41" s="1"/>
      <c r="M41" s="1"/>
    </row>
    <row r="42" spans="3:17" x14ac:dyDescent="0.3">
      <c r="C42" s="1"/>
      <c r="D42" s="1"/>
      <c r="E42" s="2"/>
      <c r="H42" s="1"/>
      <c r="I42" s="1"/>
      <c r="K42" s="1"/>
      <c r="L42" s="1"/>
      <c r="M42" s="1"/>
    </row>
    <row r="43" spans="3:17" x14ac:dyDescent="0.3">
      <c r="C43" s="1"/>
      <c r="D43" s="1"/>
      <c r="F43" s="2"/>
      <c r="H43" s="1"/>
      <c r="I43" s="1"/>
      <c r="K43" s="1"/>
      <c r="L43" s="1"/>
      <c r="M43" s="1"/>
    </row>
    <row r="44" spans="3:17" x14ac:dyDescent="0.3">
      <c r="C44" s="1"/>
      <c r="D44" s="1"/>
      <c r="F44" s="2"/>
      <c r="H44" s="2">
        <f>SUBTOTAL(109,Table3[Alma])</f>
        <v>0</v>
      </c>
      <c r="I44" s="2">
        <f>SUBTOTAL(109,Table3[Charlie])</f>
        <v>0</v>
      </c>
      <c r="K44" s="1">
        <f>SUBTOTAL(109,Table7[Alma])</f>
        <v>0</v>
      </c>
      <c r="L44" s="1">
        <f>SUBTOTAL(103,Table7[Charlie])</f>
        <v>0</v>
      </c>
      <c r="O44">
        <f>SUBTOTAL(109,Table10[Alma])</f>
        <v>0</v>
      </c>
      <c r="P44">
        <f>SUBTOTAL(109,Table10[Charlie])</f>
        <v>0</v>
      </c>
      <c r="Q44">
        <f>SUBTOTAL(103,Table10[Comments])</f>
        <v>0</v>
      </c>
    </row>
    <row r="45" spans="3:17" x14ac:dyDescent="0.3">
      <c r="C45" s="1"/>
      <c r="D45" s="1"/>
      <c r="F45" s="2"/>
    </row>
    <row r="46" spans="3:17" x14ac:dyDescent="0.3">
      <c r="C46" s="1"/>
      <c r="D46" s="1"/>
      <c r="F46" s="2"/>
      <c r="H46" t="s">
        <v>49</v>
      </c>
      <c r="L46" t="s">
        <v>15</v>
      </c>
    </row>
    <row r="47" spans="3:17" x14ac:dyDescent="0.3">
      <c r="C47" s="1"/>
      <c r="D47" s="1"/>
      <c r="F47" s="2"/>
      <c r="H47" t="s">
        <v>39</v>
      </c>
      <c r="I47" t="s">
        <v>40</v>
      </c>
      <c r="J47" t="s">
        <v>50</v>
      </c>
      <c r="L47" t="s">
        <v>39</v>
      </c>
      <c r="M47" t="s">
        <v>40</v>
      </c>
      <c r="N47" t="s">
        <v>50</v>
      </c>
    </row>
    <row r="48" spans="3:17" x14ac:dyDescent="0.3">
      <c r="C48" s="1"/>
      <c r="D48" s="1"/>
      <c r="E48" s="2"/>
      <c r="H48" s="1">
        <v>42.85</v>
      </c>
      <c r="I48" s="1"/>
      <c r="J48" t="s">
        <v>52</v>
      </c>
      <c r="L48" s="1"/>
      <c r="M48" s="1"/>
      <c r="N48" s="1"/>
    </row>
    <row r="49" spans="3:14" x14ac:dyDescent="0.3">
      <c r="C49" s="1"/>
      <c r="D49" s="1"/>
      <c r="E49" s="2"/>
      <c r="H49" s="1">
        <v>50</v>
      </c>
      <c r="I49" s="1"/>
      <c r="J49" t="s">
        <v>53</v>
      </c>
      <c r="L49" s="1"/>
      <c r="M49" s="1"/>
      <c r="N49" s="1"/>
    </row>
    <row r="50" spans="3:14" x14ac:dyDescent="0.3">
      <c r="C50" s="1"/>
      <c r="D50" s="1"/>
      <c r="E50" s="2"/>
      <c r="H50" s="1">
        <v>155.76</v>
      </c>
      <c r="I50" s="1"/>
      <c r="J50" t="s">
        <v>54</v>
      </c>
      <c r="L50" s="1"/>
      <c r="M50" s="1"/>
      <c r="N50" s="1"/>
    </row>
    <row r="51" spans="3:14" x14ac:dyDescent="0.3">
      <c r="C51" s="1"/>
      <c r="D51" s="1"/>
      <c r="E51" s="2"/>
      <c r="H51" s="1"/>
      <c r="I51" s="1"/>
      <c r="L51" s="1"/>
      <c r="M51" s="1"/>
      <c r="N51" s="1"/>
    </row>
    <row r="52" spans="3:14" x14ac:dyDescent="0.3">
      <c r="C52" s="1"/>
      <c r="D52" s="1"/>
      <c r="E52" s="2"/>
      <c r="H52" s="1"/>
      <c r="I52" s="1"/>
      <c r="L52" s="1"/>
      <c r="M52" s="1"/>
      <c r="N52" s="1"/>
    </row>
    <row r="53" spans="3:14" x14ac:dyDescent="0.3">
      <c r="C53" s="1"/>
      <c r="D53" s="1"/>
      <c r="F53" s="2"/>
      <c r="H53" s="1"/>
      <c r="I53" s="1"/>
      <c r="L53" s="1"/>
      <c r="M53" s="1"/>
      <c r="N53" s="1"/>
    </row>
    <row r="54" spans="3:14" x14ac:dyDescent="0.3">
      <c r="C54" s="1"/>
      <c r="D54" s="1"/>
      <c r="F54" s="2"/>
      <c r="H54" s="1"/>
      <c r="I54" s="1"/>
      <c r="L54" s="1"/>
      <c r="M54" s="1"/>
      <c r="N54" s="1"/>
    </row>
    <row r="55" spans="3:14" x14ac:dyDescent="0.3">
      <c r="C55" s="1"/>
      <c r="D55" s="1"/>
      <c r="F55" s="2"/>
      <c r="H55" s="1"/>
      <c r="I55" s="1"/>
      <c r="L55" s="1"/>
      <c r="M55" s="1"/>
      <c r="N55" s="1"/>
    </row>
    <row r="56" spans="3:14" x14ac:dyDescent="0.3">
      <c r="C56" s="1"/>
      <c r="D56" s="1"/>
      <c r="F56" s="2"/>
      <c r="H56" s="1"/>
      <c r="I56" s="1"/>
      <c r="L56" s="1"/>
      <c r="M56" s="1"/>
      <c r="N56" s="1"/>
    </row>
    <row r="57" spans="3:14" x14ac:dyDescent="0.3">
      <c r="C57" s="1"/>
      <c r="D57" s="1"/>
      <c r="E57" s="2"/>
      <c r="H57" s="1"/>
      <c r="I57" s="1"/>
      <c r="L57" s="1"/>
      <c r="M57" s="1"/>
      <c r="N57" s="1"/>
    </row>
    <row r="58" spans="3:14" x14ac:dyDescent="0.3">
      <c r="C58" s="1"/>
      <c r="D58" s="1"/>
      <c r="E58" s="2"/>
      <c r="H58" s="1"/>
      <c r="I58" s="1"/>
      <c r="L58" s="1"/>
      <c r="M58" s="1"/>
      <c r="N58" s="1"/>
    </row>
    <row r="59" spans="3:14" x14ac:dyDescent="0.3">
      <c r="C59" s="1"/>
      <c r="D59" s="1"/>
      <c r="E59" s="2"/>
      <c r="H59" s="1"/>
      <c r="I59" s="1"/>
      <c r="L59" s="1"/>
      <c r="M59" s="1"/>
      <c r="N59" s="1"/>
    </row>
    <row r="60" spans="3:14" x14ac:dyDescent="0.3">
      <c r="C60" s="1"/>
      <c r="D60" s="1"/>
      <c r="E60" s="2"/>
      <c r="H60" s="1"/>
      <c r="I60" s="1"/>
      <c r="L60" s="1"/>
      <c r="M60" s="1"/>
      <c r="N60" s="1"/>
    </row>
    <row r="61" spans="3:14" x14ac:dyDescent="0.3">
      <c r="C61" s="1"/>
      <c r="D61" s="1"/>
      <c r="F61" s="2"/>
      <c r="H61" s="1"/>
      <c r="I61" s="1"/>
      <c r="L61" s="1"/>
      <c r="M61" s="1"/>
      <c r="N61" s="1"/>
    </row>
    <row r="62" spans="3:14" x14ac:dyDescent="0.3">
      <c r="C62" s="1"/>
      <c r="D62" s="1"/>
      <c r="F62" s="2"/>
      <c r="H62" s="1"/>
      <c r="I62" s="1"/>
      <c r="L62" s="1"/>
      <c r="M62" s="1"/>
      <c r="N62" s="1"/>
    </row>
    <row r="63" spans="3:14" x14ac:dyDescent="0.3">
      <c r="C63" s="1"/>
      <c r="D63" s="1"/>
      <c r="F63" s="2"/>
      <c r="H63" s="4">
        <f>SUBTOTAL(109,Table8[Alma])</f>
        <v>248.60999999999999</v>
      </c>
      <c r="I63" s="4">
        <f>SUBTOTAL(109,Table8[Charlie])</f>
        <v>0</v>
      </c>
      <c r="J63" s="1"/>
      <c r="L63" s="1">
        <f>SUBTOTAL(109,Table9[Alma])</f>
        <v>0</v>
      </c>
      <c r="M63" s="1">
        <f>SUBTOTAL(109,Table9[Charlie])</f>
        <v>0</v>
      </c>
      <c r="N63" s="1"/>
    </row>
    <row r="64" spans="3:14" x14ac:dyDescent="0.3">
      <c r="C64" s="1"/>
      <c r="D64" s="1"/>
      <c r="F64" s="2"/>
    </row>
    <row r="65" spans="2:5" x14ac:dyDescent="0.3">
      <c r="C65" s="1"/>
      <c r="D65" s="1"/>
      <c r="E65" s="2"/>
    </row>
    <row r="66" spans="2:5" x14ac:dyDescent="0.3">
      <c r="C66" s="1"/>
      <c r="D66" s="1"/>
      <c r="E66" s="2"/>
    </row>
    <row r="67" spans="2:5" x14ac:dyDescent="0.3">
      <c r="C67" s="1"/>
      <c r="D67" s="1"/>
      <c r="E67" s="2"/>
    </row>
    <row r="68" spans="2:5" x14ac:dyDescent="0.3">
      <c r="C68" s="1"/>
      <c r="D68" s="1"/>
      <c r="E68" s="2"/>
    </row>
    <row r="69" spans="2:5" x14ac:dyDescent="0.3">
      <c r="B69" t="s">
        <v>14</v>
      </c>
      <c r="C69" s="2"/>
      <c r="D69" s="2"/>
      <c r="E69" s="2"/>
    </row>
    <row r="70" spans="2:5" x14ac:dyDescent="0.3">
      <c r="B70" t="s">
        <v>44</v>
      </c>
      <c r="D70" s="2"/>
    </row>
  </sheetData>
  <sortState xmlns:xlrd2="http://schemas.microsoft.com/office/spreadsheetml/2017/richdata2" ref="P3:P5">
    <sortCondition ref="P3:P5"/>
  </sortState>
  <pageMargins left="0.7" right="0.7" top="0.75" bottom="0.75" header="0.3" footer="0.3"/>
  <pageSetup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7CA6-00EB-415B-9BF6-C80CE1DC7FDF}">
  <dimension ref="A3:T70"/>
  <sheetViews>
    <sheetView workbookViewId="0">
      <selection activeCell="F10" sqref="F10"/>
    </sheetView>
  </sheetViews>
  <sheetFormatPr defaultRowHeight="14.4" x14ac:dyDescent="0.3"/>
  <cols>
    <col min="2" max="2" width="19.88671875" bestFit="1" customWidth="1"/>
    <col min="3" max="3" width="10.109375" bestFit="1" customWidth="1"/>
    <col min="4" max="4" width="10.5546875" bestFit="1" customWidth="1"/>
    <col min="5" max="5" width="10.109375" bestFit="1" customWidth="1"/>
    <col min="6" max="6" width="11.6640625" bestFit="1" customWidth="1"/>
    <col min="8" max="13" width="10.44140625" customWidth="1"/>
    <col min="15" max="16" width="10.44140625" customWidth="1"/>
    <col min="17" max="17" width="16.33203125" bestFit="1" customWidth="1"/>
  </cols>
  <sheetData>
    <row r="3" spans="1:20" x14ac:dyDescent="0.3">
      <c r="P3" t="s">
        <v>19</v>
      </c>
      <c r="Q3" t="s">
        <v>35</v>
      </c>
      <c r="T3">
        <v>225</v>
      </c>
    </row>
    <row r="4" spans="1:20" x14ac:dyDescent="0.3">
      <c r="P4" t="s">
        <v>18</v>
      </c>
      <c r="Q4" t="s">
        <v>21</v>
      </c>
      <c r="T4">
        <v>39</v>
      </c>
    </row>
    <row r="5" spans="1:20" x14ac:dyDescent="0.3">
      <c r="A5" t="s">
        <v>16</v>
      </c>
      <c r="C5" t="s">
        <v>9</v>
      </c>
      <c r="D5" t="s">
        <v>10</v>
      </c>
      <c r="E5" t="s">
        <v>45</v>
      </c>
      <c r="F5" t="s">
        <v>46</v>
      </c>
      <c r="H5" t="s">
        <v>47</v>
      </c>
      <c r="K5" t="s">
        <v>11</v>
      </c>
      <c r="P5" t="s">
        <v>17</v>
      </c>
      <c r="Q5" t="s">
        <v>32</v>
      </c>
    </row>
    <row r="6" spans="1:20" x14ac:dyDescent="0.3">
      <c r="B6" t="s">
        <v>0</v>
      </c>
      <c r="C6" s="1"/>
      <c r="D6" s="1"/>
      <c r="E6" s="2"/>
      <c r="F6" s="1">
        <f>$C6/2</f>
        <v>0</v>
      </c>
      <c r="H6" t="s">
        <v>16</v>
      </c>
      <c r="I6" t="s">
        <v>48</v>
      </c>
      <c r="K6" t="s">
        <v>39</v>
      </c>
      <c r="L6" t="s">
        <v>40</v>
      </c>
      <c r="P6" t="s">
        <v>22</v>
      </c>
    </row>
    <row r="7" spans="1:20" x14ac:dyDescent="0.3">
      <c r="B7" t="s">
        <v>1</v>
      </c>
      <c r="C7" s="1"/>
      <c r="D7" s="1"/>
      <c r="E7" s="2"/>
      <c r="H7" s="3"/>
      <c r="I7" s="1"/>
      <c r="K7" s="1"/>
      <c r="L7" s="1">
        <v>65.790000000000006</v>
      </c>
      <c r="P7" t="s">
        <v>34</v>
      </c>
    </row>
    <row r="8" spans="1:20" x14ac:dyDescent="0.3">
      <c r="B8" t="s">
        <v>2</v>
      </c>
      <c r="C8" s="1"/>
      <c r="D8" s="1"/>
      <c r="E8" s="2"/>
      <c r="H8" s="3"/>
      <c r="I8" s="1"/>
      <c r="K8" s="1"/>
      <c r="L8" s="1">
        <v>43.26</v>
      </c>
      <c r="P8" t="s">
        <v>28</v>
      </c>
    </row>
    <row r="9" spans="1:20" x14ac:dyDescent="0.3">
      <c r="B9" t="s">
        <v>3</v>
      </c>
      <c r="C9" s="1"/>
      <c r="D9" s="1"/>
      <c r="E9" s="2"/>
      <c r="H9" s="3"/>
      <c r="I9" s="1"/>
      <c r="K9" s="1"/>
      <c r="L9" s="1"/>
      <c r="P9" t="s">
        <v>27</v>
      </c>
    </row>
    <row r="10" spans="1:20" x14ac:dyDescent="0.3">
      <c r="B10" t="s">
        <v>37</v>
      </c>
      <c r="C10" s="1"/>
      <c r="D10" s="1">
        <v>103</v>
      </c>
      <c r="E10" s="2">
        <f t="shared" ref="E8:E10" si="0">D10/2</f>
        <v>51.5</v>
      </c>
      <c r="H10" s="3"/>
      <c r="I10" s="1"/>
      <c r="K10" s="1"/>
      <c r="L10" s="1"/>
      <c r="P10" t="s">
        <v>23</v>
      </c>
    </row>
    <row r="11" spans="1:20" x14ac:dyDescent="0.3">
      <c r="B11" t="s">
        <v>38</v>
      </c>
      <c r="C11" s="1">
        <f>Table212[[#Totals],[Amount]]</f>
        <v>0</v>
      </c>
      <c r="D11" s="1"/>
      <c r="F11" s="2">
        <f>$C11/2</f>
        <v>0</v>
      </c>
      <c r="H11" s="3"/>
      <c r="I11" s="1"/>
      <c r="K11" s="1"/>
      <c r="L11" s="1"/>
      <c r="P11" t="s">
        <v>30</v>
      </c>
    </row>
    <row r="12" spans="1:20" x14ac:dyDescent="0.3">
      <c r="B12" t="s">
        <v>4</v>
      </c>
      <c r="C12" s="1"/>
      <c r="D12" s="1">
        <v>231.42</v>
      </c>
      <c r="E12" s="2">
        <f>D12/2</f>
        <v>115.71</v>
      </c>
      <c r="H12" s="3"/>
      <c r="I12" s="1"/>
      <c r="K12" s="1"/>
      <c r="L12" s="1"/>
      <c r="P12" t="s">
        <v>29</v>
      </c>
    </row>
    <row r="13" spans="1:20" x14ac:dyDescent="0.3">
      <c r="B13" t="s">
        <v>43</v>
      </c>
      <c r="C13" s="1"/>
      <c r="D13" s="1"/>
      <c r="F13" s="2">
        <f>C13/2</f>
        <v>0</v>
      </c>
      <c r="H13" s="3"/>
      <c r="I13" s="1"/>
      <c r="K13" s="1"/>
      <c r="L13" s="1"/>
    </row>
    <row r="14" spans="1:20" x14ac:dyDescent="0.3">
      <c r="B14" t="s">
        <v>41</v>
      </c>
      <c r="C14" s="1"/>
      <c r="D14" s="1"/>
      <c r="E14" s="2">
        <v>69</v>
      </c>
      <c r="H14" s="3"/>
      <c r="I14" s="1"/>
      <c r="K14" s="1"/>
      <c r="L14" s="1"/>
    </row>
    <row r="15" spans="1:20" x14ac:dyDescent="0.3">
      <c r="B15" t="s">
        <v>8</v>
      </c>
      <c r="C15" s="1"/>
      <c r="D15" s="1"/>
      <c r="F15" s="2">
        <f>C15/2</f>
        <v>0</v>
      </c>
      <c r="H15" s="3"/>
      <c r="I15" s="1"/>
      <c r="K15" s="1"/>
      <c r="L15" s="1"/>
      <c r="P15" t="s">
        <v>31</v>
      </c>
    </row>
    <row r="16" spans="1:20" x14ac:dyDescent="0.3">
      <c r="B16" t="s">
        <v>5</v>
      </c>
      <c r="C16" s="1"/>
      <c r="D16" s="1"/>
      <c r="E16" s="2">
        <f>D16/2</f>
        <v>0</v>
      </c>
      <c r="H16" s="3"/>
      <c r="I16" s="1"/>
      <c r="K16" s="1"/>
      <c r="L16" s="1"/>
      <c r="P16" t="s">
        <v>36</v>
      </c>
    </row>
    <row r="17" spans="2:17" x14ac:dyDescent="0.3">
      <c r="B17" t="s">
        <v>6</v>
      </c>
      <c r="C17" s="1"/>
      <c r="D17" s="1"/>
      <c r="E17" s="2">
        <f t="shared" ref="E17:E19" si="1">D17/2</f>
        <v>0</v>
      </c>
      <c r="H17" s="3"/>
      <c r="I17" s="1"/>
      <c r="K17" s="1"/>
      <c r="L17" s="1"/>
      <c r="P17" t="s">
        <v>25</v>
      </c>
    </row>
    <row r="18" spans="2:17" x14ac:dyDescent="0.3">
      <c r="B18" t="s">
        <v>7</v>
      </c>
      <c r="C18" s="1"/>
      <c r="D18" s="1">
        <v>14.04</v>
      </c>
      <c r="E18" s="2">
        <f t="shared" si="1"/>
        <v>7.02</v>
      </c>
      <c r="H18" s="3"/>
      <c r="I18" s="1"/>
      <c r="K18" s="1"/>
      <c r="L18" s="1"/>
      <c r="P18" t="s">
        <v>26</v>
      </c>
    </row>
    <row r="19" spans="2:17" x14ac:dyDescent="0.3">
      <c r="B19" t="s">
        <v>42</v>
      </c>
      <c r="C19" s="1"/>
      <c r="D19" s="1"/>
      <c r="E19" s="2">
        <f t="shared" si="1"/>
        <v>0</v>
      </c>
      <c r="H19" s="3"/>
      <c r="I19" s="1"/>
      <c r="K19" s="1"/>
      <c r="L19" s="1"/>
    </row>
    <row r="20" spans="2:17" x14ac:dyDescent="0.3">
      <c r="B20" t="s">
        <v>11</v>
      </c>
      <c r="C20" s="1">
        <f>Table414[[#Totals],[Alma]]</f>
        <v>0</v>
      </c>
      <c r="D20" s="1">
        <f>Table414[[#Totals],[Charlie]]</f>
        <v>109.05000000000001</v>
      </c>
      <c r="E20" s="2">
        <f>D20/2</f>
        <v>54.525000000000006</v>
      </c>
      <c r="F20" s="2">
        <f>C20/2</f>
        <v>0</v>
      </c>
      <c r="H20" s="3"/>
      <c r="I20" s="1"/>
      <c r="K20" s="1"/>
      <c r="L20" s="1"/>
      <c r="P20" t="s">
        <v>33</v>
      </c>
    </row>
    <row r="21" spans="2:17" x14ac:dyDescent="0.3">
      <c r="B21" t="s">
        <v>12</v>
      </c>
      <c r="C21" s="1">
        <f>Table715[[#Totals],[Alma]]</f>
        <v>0</v>
      </c>
      <c r="D21" s="1">
        <f>Table715[[#Totals],[Charlie]]</f>
        <v>3</v>
      </c>
      <c r="E21" s="2">
        <f t="shared" ref="E21:E25" si="2">D21/2</f>
        <v>1.5</v>
      </c>
      <c r="F21" s="2">
        <f t="shared" ref="F21:F25" si="3">C21/2</f>
        <v>0</v>
      </c>
      <c r="H21" s="3"/>
      <c r="I21" s="1"/>
      <c r="K21" s="1"/>
      <c r="L21" s="1"/>
      <c r="P21" t="s">
        <v>24</v>
      </c>
    </row>
    <row r="22" spans="2:17" x14ac:dyDescent="0.3">
      <c r="B22" t="s">
        <v>15</v>
      </c>
      <c r="C22" s="1">
        <f>Table917[[#Totals],[Alma]]</f>
        <v>0</v>
      </c>
      <c r="D22" s="1">
        <f>Table917[[#Totals],[Charlie]]</f>
        <v>0</v>
      </c>
      <c r="E22" s="2">
        <f t="shared" si="2"/>
        <v>0</v>
      </c>
      <c r="F22" s="2">
        <f t="shared" si="3"/>
        <v>0</v>
      </c>
      <c r="H22" t="s">
        <v>14</v>
      </c>
      <c r="I22" s="5">
        <f>SUBTOTAL(109,Table212[Amount])</f>
        <v>0</v>
      </c>
      <c r="K22" s="2">
        <f>SUBTOTAL(109,Table414[Alma])</f>
        <v>0</v>
      </c>
      <c r="L22" s="2">
        <f>SUBTOTAL(109,Table414[Charlie])</f>
        <v>109.05000000000001</v>
      </c>
    </row>
    <row r="23" spans="2:17" x14ac:dyDescent="0.3">
      <c r="B23" t="s">
        <v>20</v>
      </c>
      <c r="C23" s="1">
        <f>Table313[[#Totals],[Alma]]</f>
        <v>0</v>
      </c>
      <c r="D23" s="1">
        <f>Table313[[#Totals],[Charlie]]</f>
        <v>0</v>
      </c>
      <c r="E23" s="2">
        <f t="shared" si="2"/>
        <v>0</v>
      </c>
      <c r="F23" s="2">
        <f t="shared" si="3"/>
        <v>0</v>
      </c>
    </row>
    <row r="24" spans="2:17" x14ac:dyDescent="0.3">
      <c r="B24" t="s">
        <v>51</v>
      </c>
      <c r="C24" s="1">
        <f>Table1018[[#Totals],[Alma]]</f>
        <v>0</v>
      </c>
      <c r="D24" s="1">
        <f>Table1018[[#Totals],[Charlie]]</f>
        <v>0</v>
      </c>
      <c r="E24" s="2">
        <f t="shared" si="2"/>
        <v>0</v>
      </c>
      <c r="F24" s="2">
        <f t="shared" si="3"/>
        <v>0</v>
      </c>
    </row>
    <row r="25" spans="2:17" x14ac:dyDescent="0.3">
      <c r="B25" t="s">
        <v>13</v>
      </c>
      <c r="C25" s="1">
        <f>Table816[[#Totals],[Alma]]</f>
        <v>0</v>
      </c>
      <c r="D25" s="1">
        <f>Table816[[#Totals],[Charlie]]</f>
        <v>0</v>
      </c>
      <c r="E25" s="2">
        <f t="shared" si="2"/>
        <v>0</v>
      </c>
      <c r="F25" s="2">
        <f t="shared" si="3"/>
        <v>0</v>
      </c>
    </row>
    <row r="26" spans="2:17" x14ac:dyDescent="0.3">
      <c r="C26" s="1"/>
      <c r="D26" s="1"/>
      <c r="F26" s="2"/>
    </row>
    <row r="27" spans="2:17" x14ac:dyDescent="0.3">
      <c r="B27" t="s">
        <v>14</v>
      </c>
      <c r="C27" s="1">
        <f>SUM(C6:C25)</f>
        <v>0</v>
      </c>
      <c r="D27" s="1">
        <f>SUM(D6:D25)</f>
        <v>460.51</v>
      </c>
      <c r="E27" s="2">
        <f>SUM(E6:E25)</f>
        <v>299.255</v>
      </c>
      <c r="F27" s="2">
        <f>SUM(F6:F25)</f>
        <v>0</v>
      </c>
      <c r="H27" t="s">
        <v>20</v>
      </c>
      <c r="K27" t="s">
        <v>12</v>
      </c>
      <c r="O27" t="s">
        <v>51</v>
      </c>
    </row>
    <row r="28" spans="2:17" x14ac:dyDescent="0.3">
      <c r="B28" t="s">
        <v>44</v>
      </c>
      <c r="C28" s="1"/>
      <c r="D28" s="1">
        <f>SUM(C27:D27)</f>
        <v>460.51</v>
      </c>
      <c r="E28" s="2"/>
      <c r="H28" t="s">
        <v>39</v>
      </c>
      <c r="I28" t="s">
        <v>40</v>
      </c>
      <c r="K28" t="s">
        <v>39</v>
      </c>
      <c r="L28" t="s">
        <v>40</v>
      </c>
      <c r="M28" t="s">
        <v>50</v>
      </c>
      <c r="O28" t="s">
        <v>39</v>
      </c>
      <c r="P28" t="s">
        <v>40</v>
      </c>
      <c r="Q28" t="s">
        <v>50</v>
      </c>
    </row>
    <row r="29" spans="2:17" x14ac:dyDescent="0.3">
      <c r="C29" s="1"/>
      <c r="D29" s="1"/>
      <c r="E29" s="2"/>
      <c r="H29" s="1"/>
      <c r="I29" s="1"/>
      <c r="K29" s="1"/>
      <c r="L29" s="1">
        <v>237.88</v>
      </c>
      <c r="M29" s="1" t="s">
        <v>55</v>
      </c>
    </row>
    <row r="30" spans="2:17" x14ac:dyDescent="0.3">
      <c r="C30" s="1"/>
      <c r="D30" s="1"/>
      <c r="E30" s="2"/>
      <c r="H30" s="1"/>
      <c r="I30" s="1"/>
      <c r="K30" s="1"/>
      <c r="L30" s="1">
        <v>38.020000000000003</v>
      </c>
      <c r="M30" s="1" t="s">
        <v>55</v>
      </c>
    </row>
    <row r="31" spans="2:17" x14ac:dyDescent="0.3">
      <c r="C31" s="1"/>
      <c r="D31" s="1"/>
      <c r="E31" s="2"/>
      <c r="H31" s="1"/>
      <c r="I31" s="1"/>
      <c r="K31" s="1"/>
      <c r="L31" s="1">
        <v>280</v>
      </c>
      <c r="M31" s="1" t="s">
        <v>56</v>
      </c>
    </row>
    <row r="32" spans="2:17" x14ac:dyDescent="0.3">
      <c r="C32" s="1"/>
      <c r="D32" s="1"/>
      <c r="E32" s="2"/>
      <c r="H32" s="1"/>
      <c r="I32" s="1"/>
      <c r="K32" s="1"/>
      <c r="L32" s="1"/>
      <c r="M32" s="1"/>
    </row>
    <row r="33" spans="3:17" x14ac:dyDescent="0.3">
      <c r="C33" s="1"/>
      <c r="D33" s="1"/>
      <c r="E33" s="2"/>
      <c r="H33" s="1"/>
      <c r="I33" s="1"/>
      <c r="K33" s="1"/>
      <c r="L33" s="1"/>
      <c r="M33" s="1"/>
    </row>
    <row r="34" spans="3:17" x14ac:dyDescent="0.3">
      <c r="C34" s="1"/>
      <c r="D34" s="1"/>
      <c r="F34" s="2"/>
      <c r="H34" s="1"/>
      <c r="I34" s="1"/>
      <c r="K34" s="1"/>
      <c r="L34" s="1"/>
      <c r="M34" s="1"/>
    </row>
    <row r="35" spans="3:17" x14ac:dyDescent="0.3">
      <c r="C35" s="1"/>
      <c r="D35" s="1"/>
      <c r="F35" s="2"/>
      <c r="H35" s="1"/>
      <c r="I35" s="1"/>
      <c r="K35" s="1"/>
      <c r="L35" s="1"/>
      <c r="M35" s="1"/>
    </row>
    <row r="36" spans="3:17" x14ac:dyDescent="0.3">
      <c r="C36" s="1"/>
      <c r="D36" s="1"/>
      <c r="F36" s="2"/>
      <c r="H36" s="1"/>
      <c r="I36" s="1"/>
      <c r="K36" s="1"/>
      <c r="L36" s="1"/>
      <c r="M36" s="1"/>
    </row>
    <row r="37" spans="3:17" x14ac:dyDescent="0.3">
      <c r="C37" s="1"/>
      <c r="D37" s="1"/>
      <c r="F37" s="2"/>
      <c r="H37" s="1"/>
      <c r="I37" s="1"/>
      <c r="K37" s="1"/>
      <c r="L37" s="1"/>
      <c r="M37" s="1"/>
    </row>
    <row r="38" spans="3:17" x14ac:dyDescent="0.3">
      <c r="C38" s="1"/>
      <c r="D38" s="1"/>
      <c r="F38" s="2"/>
      <c r="H38" s="1"/>
      <c r="I38" s="1"/>
      <c r="K38" s="1"/>
      <c r="L38" s="1"/>
      <c r="M38" s="1"/>
    </row>
    <row r="39" spans="3:17" x14ac:dyDescent="0.3">
      <c r="C39" s="1"/>
      <c r="D39" s="1"/>
      <c r="E39" s="2"/>
      <c r="H39" s="1"/>
      <c r="I39" s="1"/>
      <c r="K39" s="1"/>
      <c r="L39" s="1"/>
      <c r="M39" s="1"/>
    </row>
    <row r="40" spans="3:17" x14ac:dyDescent="0.3">
      <c r="C40" s="1"/>
      <c r="D40" s="1"/>
      <c r="E40" s="2"/>
      <c r="H40" s="1"/>
      <c r="I40" s="1"/>
      <c r="K40" s="1"/>
      <c r="L40" s="1"/>
      <c r="M40" s="1"/>
    </row>
    <row r="41" spans="3:17" x14ac:dyDescent="0.3">
      <c r="C41" s="1"/>
      <c r="D41" s="1"/>
      <c r="E41" s="2"/>
      <c r="H41" s="1"/>
      <c r="I41" s="1"/>
      <c r="K41" s="1"/>
      <c r="L41" s="1"/>
      <c r="M41" s="1"/>
    </row>
    <row r="42" spans="3:17" x14ac:dyDescent="0.3">
      <c r="C42" s="1"/>
      <c r="D42" s="1"/>
      <c r="E42" s="2"/>
      <c r="H42" s="1"/>
      <c r="I42" s="1"/>
      <c r="K42" s="1"/>
      <c r="L42" s="1"/>
      <c r="M42" s="1"/>
    </row>
    <row r="43" spans="3:17" x14ac:dyDescent="0.3">
      <c r="C43" s="1"/>
      <c r="D43" s="1"/>
      <c r="F43" s="2"/>
      <c r="H43" s="1"/>
      <c r="I43" s="1"/>
      <c r="K43" s="1"/>
      <c r="L43" s="1"/>
      <c r="M43" s="1"/>
    </row>
    <row r="44" spans="3:17" x14ac:dyDescent="0.3">
      <c r="C44" s="1"/>
      <c r="D44" s="1"/>
      <c r="F44" s="2"/>
      <c r="H44" s="2">
        <f>SUBTOTAL(109,Table313[Alma])</f>
        <v>0</v>
      </c>
      <c r="I44" s="2">
        <f>SUBTOTAL(109,Table313[Charlie])</f>
        <v>0</v>
      </c>
      <c r="K44" s="1">
        <f>SUBTOTAL(109,Table715[Alma])</f>
        <v>0</v>
      </c>
      <c r="L44" s="1">
        <f>SUBTOTAL(103,Table715[Charlie])</f>
        <v>3</v>
      </c>
      <c r="O44">
        <f>SUBTOTAL(109,Table1018[Alma])</f>
        <v>0</v>
      </c>
      <c r="P44">
        <f>SUBTOTAL(109,Table1018[Charlie])</f>
        <v>0</v>
      </c>
      <c r="Q44">
        <f>SUBTOTAL(103,Table1018[Comments])</f>
        <v>0</v>
      </c>
    </row>
    <row r="45" spans="3:17" x14ac:dyDescent="0.3">
      <c r="C45" s="1"/>
      <c r="D45" s="1"/>
      <c r="F45" s="2"/>
    </row>
    <row r="46" spans="3:17" x14ac:dyDescent="0.3">
      <c r="C46" s="1"/>
      <c r="D46" s="1"/>
      <c r="F46" s="2"/>
      <c r="H46" t="s">
        <v>49</v>
      </c>
      <c r="L46" t="s">
        <v>15</v>
      </c>
    </row>
    <row r="47" spans="3:17" x14ac:dyDescent="0.3">
      <c r="C47" s="1"/>
      <c r="D47" s="1"/>
      <c r="F47" s="2"/>
      <c r="H47" t="s">
        <v>39</v>
      </c>
      <c r="I47" t="s">
        <v>40</v>
      </c>
      <c r="J47" t="s">
        <v>50</v>
      </c>
      <c r="L47" t="s">
        <v>39</v>
      </c>
      <c r="M47" t="s">
        <v>40</v>
      </c>
      <c r="N47" t="s">
        <v>50</v>
      </c>
    </row>
    <row r="48" spans="3:17" x14ac:dyDescent="0.3">
      <c r="C48" s="1"/>
      <c r="D48" s="1"/>
      <c r="E48" s="2"/>
      <c r="H48" s="1"/>
      <c r="I48" s="1"/>
      <c r="L48" s="1"/>
      <c r="M48" s="1"/>
      <c r="N48" s="1"/>
    </row>
    <row r="49" spans="3:14" x14ac:dyDescent="0.3">
      <c r="C49" s="1"/>
      <c r="D49" s="1"/>
      <c r="E49" s="2"/>
      <c r="H49" s="1"/>
      <c r="I49" s="1"/>
      <c r="L49" s="1"/>
      <c r="M49" s="1"/>
      <c r="N49" s="1"/>
    </row>
    <row r="50" spans="3:14" x14ac:dyDescent="0.3">
      <c r="C50" s="1"/>
      <c r="D50" s="1"/>
      <c r="E50" s="2"/>
      <c r="H50" s="1"/>
      <c r="I50" s="1"/>
      <c r="L50" s="1"/>
      <c r="M50" s="1"/>
      <c r="N50" s="1"/>
    </row>
    <row r="51" spans="3:14" x14ac:dyDescent="0.3">
      <c r="C51" s="1"/>
      <c r="D51" s="1"/>
      <c r="E51" s="2"/>
      <c r="H51" s="1"/>
      <c r="I51" s="1"/>
      <c r="L51" s="1"/>
      <c r="M51" s="1"/>
      <c r="N51" s="1"/>
    </row>
    <row r="52" spans="3:14" x14ac:dyDescent="0.3">
      <c r="C52" s="1"/>
      <c r="D52" s="1"/>
      <c r="E52" s="2"/>
      <c r="H52" s="1"/>
      <c r="I52" s="1"/>
      <c r="L52" s="1"/>
      <c r="M52" s="1"/>
      <c r="N52" s="1"/>
    </row>
    <row r="53" spans="3:14" x14ac:dyDescent="0.3">
      <c r="C53" s="1"/>
      <c r="D53" s="1"/>
      <c r="F53" s="2"/>
      <c r="H53" s="1"/>
      <c r="I53" s="1"/>
      <c r="L53" s="1"/>
      <c r="M53" s="1"/>
      <c r="N53" s="1"/>
    </row>
    <row r="54" spans="3:14" x14ac:dyDescent="0.3">
      <c r="C54" s="1"/>
      <c r="D54" s="1"/>
      <c r="F54" s="2"/>
      <c r="H54" s="1"/>
      <c r="I54" s="1"/>
      <c r="L54" s="1"/>
      <c r="M54" s="1"/>
      <c r="N54" s="1"/>
    </row>
    <row r="55" spans="3:14" x14ac:dyDescent="0.3">
      <c r="C55" s="1"/>
      <c r="D55" s="1"/>
      <c r="F55" s="2"/>
      <c r="H55" s="1"/>
      <c r="I55" s="1"/>
      <c r="L55" s="1"/>
      <c r="M55" s="1"/>
      <c r="N55" s="1"/>
    </row>
    <row r="56" spans="3:14" x14ac:dyDescent="0.3">
      <c r="C56" s="1"/>
      <c r="D56" s="1"/>
      <c r="F56" s="2"/>
      <c r="H56" s="1"/>
      <c r="I56" s="1"/>
      <c r="L56" s="1"/>
      <c r="M56" s="1"/>
      <c r="N56" s="1"/>
    </row>
    <row r="57" spans="3:14" x14ac:dyDescent="0.3">
      <c r="C57" s="1"/>
      <c r="D57" s="1"/>
      <c r="E57" s="2"/>
      <c r="H57" s="1"/>
      <c r="I57" s="1"/>
      <c r="L57" s="1"/>
      <c r="M57" s="1"/>
      <c r="N57" s="1"/>
    </row>
    <row r="58" spans="3:14" x14ac:dyDescent="0.3">
      <c r="C58" s="1"/>
      <c r="D58" s="1"/>
      <c r="E58" s="2"/>
      <c r="H58" s="1"/>
      <c r="I58" s="1"/>
      <c r="L58" s="1"/>
      <c r="M58" s="1"/>
      <c r="N58" s="1"/>
    </row>
    <row r="59" spans="3:14" x14ac:dyDescent="0.3">
      <c r="C59" s="1"/>
      <c r="D59" s="1"/>
      <c r="E59" s="2"/>
      <c r="H59" s="1"/>
      <c r="I59" s="1"/>
      <c r="L59" s="1"/>
      <c r="M59" s="1"/>
      <c r="N59" s="1"/>
    </row>
    <row r="60" spans="3:14" x14ac:dyDescent="0.3">
      <c r="C60" s="1"/>
      <c r="D60" s="1"/>
      <c r="E60" s="2"/>
      <c r="H60" s="1"/>
      <c r="I60" s="1"/>
      <c r="L60" s="1"/>
      <c r="M60" s="1"/>
      <c r="N60" s="1"/>
    </row>
    <row r="61" spans="3:14" x14ac:dyDescent="0.3">
      <c r="C61" s="1"/>
      <c r="D61" s="1"/>
      <c r="F61" s="2"/>
      <c r="H61" s="1"/>
      <c r="I61" s="1"/>
      <c r="L61" s="1"/>
      <c r="M61" s="1"/>
      <c r="N61" s="1"/>
    </row>
    <row r="62" spans="3:14" x14ac:dyDescent="0.3">
      <c r="C62" s="1"/>
      <c r="D62" s="1"/>
      <c r="F62" s="2"/>
      <c r="H62" s="1"/>
      <c r="I62" s="1"/>
      <c r="L62" s="1"/>
      <c r="M62" s="1"/>
      <c r="N62" s="1"/>
    </row>
    <row r="63" spans="3:14" x14ac:dyDescent="0.3">
      <c r="C63" s="1"/>
      <c r="D63" s="1"/>
      <c r="F63" s="2"/>
      <c r="H63" s="4">
        <f>SUBTOTAL(109,Table816[Alma])</f>
        <v>0</v>
      </c>
      <c r="I63" s="4">
        <f>SUBTOTAL(109,Table816[Charlie])</f>
        <v>0</v>
      </c>
      <c r="J63" s="1"/>
      <c r="L63" s="1">
        <f>SUBTOTAL(109,Table917[Alma])</f>
        <v>0</v>
      </c>
      <c r="M63" s="1">
        <f>SUBTOTAL(109,Table917[Charlie])</f>
        <v>0</v>
      </c>
      <c r="N63" s="1"/>
    </row>
    <row r="64" spans="3:14" x14ac:dyDescent="0.3">
      <c r="C64" s="1"/>
      <c r="D64" s="1"/>
      <c r="F64" s="2"/>
    </row>
    <row r="65" spans="3:5" x14ac:dyDescent="0.3">
      <c r="C65" s="1"/>
      <c r="D65" s="1"/>
      <c r="E65" s="2"/>
    </row>
    <row r="66" spans="3:5" x14ac:dyDescent="0.3">
      <c r="C66" s="1"/>
      <c r="D66" s="1"/>
      <c r="E66" s="2"/>
    </row>
    <row r="67" spans="3:5" x14ac:dyDescent="0.3">
      <c r="C67" s="1"/>
      <c r="D67" s="1"/>
      <c r="E67" s="2"/>
    </row>
    <row r="68" spans="3:5" x14ac:dyDescent="0.3">
      <c r="C68" s="1"/>
      <c r="D68" s="1"/>
      <c r="E68" s="2"/>
    </row>
    <row r="69" spans="3:5" x14ac:dyDescent="0.3">
      <c r="C69" s="2"/>
      <c r="D69" s="2"/>
      <c r="E69" s="2"/>
    </row>
    <row r="70" spans="3:5" x14ac:dyDescent="0.3">
      <c r="D70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D6A5-E6D4-4750-95DE-D296199170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E375-97CB-4370-8A44-6A848970AD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1EDA-8974-4CC3-AFB8-8D6151B2DA90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4A41-8DB1-4C51-89B8-1E760CA6E0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32A3-E7C2-420B-B012-5EA3A7BD76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088D-F516-42BB-93BA-E6D6F7DE45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 2022</vt:lpstr>
      <vt:lpstr>Feb 2022</vt:lpstr>
      <vt:lpstr>Mar 2022</vt:lpstr>
      <vt:lpstr>Apr 2022</vt:lpstr>
      <vt:lpstr>May 2022</vt:lpstr>
      <vt:lpstr>Jun 2022</vt:lpstr>
      <vt:lpstr>Jul 2022</vt:lpstr>
      <vt:lpstr>Aug 2022</vt:lpstr>
      <vt:lpstr>Sep 2022</vt:lpstr>
      <vt:lpstr>Oct 2022</vt:lpstr>
      <vt:lpstr>Nov 2022</vt:lpstr>
      <vt:lpstr>Dec 2022 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Caquias</dc:creator>
  <cp:lastModifiedBy>Juan Caquias</cp:lastModifiedBy>
  <dcterms:created xsi:type="dcterms:W3CDTF">2022-02-15T02:47:04Z</dcterms:created>
  <dcterms:modified xsi:type="dcterms:W3CDTF">2022-02-16T05:20:38Z</dcterms:modified>
</cp:coreProperties>
</file>