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d300fcf58872a0/Investment Research/"/>
    </mc:Choice>
  </mc:AlternateContent>
  <xr:revisionPtr revIDLastSave="1508" documentId="8_{9435D481-8BF6-44AA-B66E-3C241767B967}" xr6:coauthVersionLast="47" xr6:coauthVersionMax="47" xr10:uidLastSave="{72DF2D63-3807-414B-9B8A-4CA66123FCD6}"/>
  <bookViews>
    <workbookView xWindow="285" yWindow="4065" windowWidth="43785" windowHeight="27540" activeTab="3" xr2:uid="{8EBF3EEE-B1E3-4A3B-BB83-521C30573BE6}"/>
  </bookViews>
  <sheets>
    <sheet name="Info" sheetId="4" r:id="rId1"/>
    <sheet name="Assumptions" sheetId="5" r:id="rId2"/>
    <sheet name="WACC" sheetId="3" r:id="rId3"/>
    <sheet name="DCF" sheetId="2" r:id="rId4"/>
    <sheet name="Model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19" i="2"/>
  <c r="E18" i="2"/>
  <c r="J17" i="2"/>
  <c r="J18" i="2" s="1"/>
  <c r="E17" i="2"/>
  <c r="J15" i="2"/>
  <c r="J14" i="2" s="1"/>
  <c r="E15" i="2"/>
  <c r="E16" i="2" s="1"/>
  <c r="E14" i="2"/>
  <c r="M13" i="2"/>
  <c r="E11" i="2"/>
  <c r="V5" i="2"/>
  <c r="U5" i="2"/>
  <c r="T5" i="2"/>
  <c r="S5" i="2"/>
  <c r="R5" i="2"/>
  <c r="Q5" i="2"/>
  <c r="AW23" i="1"/>
  <c r="AW41" i="1" s="1"/>
  <c r="AX23" i="1"/>
  <c r="AX41" i="1" s="1"/>
  <c r="AY23" i="1"/>
  <c r="AY41" i="1" s="1"/>
  <c r="AZ23" i="1"/>
  <c r="AZ41" i="1" s="1"/>
  <c r="BA23" i="1"/>
  <c r="BA41" i="1" s="1"/>
  <c r="BB23" i="1"/>
  <c r="BB41" i="1" s="1"/>
  <c r="BC23" i="1"/>
  <c r="BC41" i="1" s="1"/>
  <c r="BD23" i="1"/>
  <c r="BE23" i="1"/>
  <c r="BF23" i="1"/>
  <c r="BF41" i="1" s="1"/>
  <c r="AW22" i="1"/>
  <c r="AW42" i="1" s="1"/>
  <c r="AX22" i="1"/>
  <c r="AX42" i="1" s="1"/>
  <c r="AY22" i="1"/>
  <c r="AY42" i="1" s="1"/>
  <c r="AZ22" i="1"/>
  <c r="AZ42" i="1" s="1"/>
  <c r="BA22" i="1"/>
  <c r="BA42" i="1" s="1"/>
  <c r="BB22" i="1"/>
  <c r="BB42" i="1" s="1"/>
  <c r="BC22" i="1"/>
  <c r="BC42" i="1" s="1"/>
  <c r="BD22" i="1"/>
  <c r="BD42" i="1" s="1"/>
  <c r="BE22" i="1"/>
  <c r="BE42" i="1" s="1"/>
  <c r="BF22" i="1"/>
  <c r="BF42" i="1" s="1"/>
  <c r="AC19" i="1"/>
  <c r="AD19" i="1"/>
  <c r="AB19" i="1"/>
  <c r="AV19" i="1"/>
  <c r="AV22" i="1" s="1"/>
  <c r="AV86" i="1"/>
  <c r="AW86" i="1"/>
  <c r="AX86" i="1"/>
  <c r="AY86" i="1"/>
  <c r="AZ86" i="1"/>
  <c r="BA86" i="1"/>
  <c r="BB86" i="1"/>
  <c r="BC86" i="1"/>
  <c r="BD86" i="1"/>
  <c r="BE86" i="1"/>
  <c r="BF86" i="1"/>
  <c r="AV84" i="1"/>
  <c r="AW84" i="1"/>
  <c r="AX84" i="1"/>
  <c r="AY84" i="1"/>
  <c r="AZ84" i="1"/>
  <c r="BA84" i="1"/>
  <c r="BB84" i="1"/>
  <c r="BC84" i="1"/>
  <c r="BD84" i="1"/>
  <c r="BE84" i="1"/>
  <c r="BF84" i="1"/>
  <c r="AV77" i="1"/>
  <c r="AW77" i="1"/>
  <c r="AX77" i="1"/>
  <c r="AY77" i="1"/>
  <c r="AZ77" i="1"/>
  <c r="BA77" i="1"/>
  <c r="BB77" i="1"/>
  <c r="BC77" i="1"/>
  <c r="BD77" i="1"/>
  <c r="BE77" i="1"/>
  <c r="BF77" i="1"/>
  <c r="AV72" i="1"/>
  <c r="AW72" i="1"/>
  <c r="AX72" i="1"/>
  <c r="AY72" i="1"/>
  <c r="AZ72" i="1"/>
  <c r="BA72" i="1"/>
  <c r="BB72" i="1"/>
  <c r="BC72" i="1"/>
  <c r="BD72" i="1"/>
  <c r="BE72" i="1"/>
  <c r="BF72" i="1"/>
  <c r="AV64" i="1"/>
  <c r="AW64" i="1"/>
  <c r="AX64" i="1"/>
  <c r="AY64" i="1"/>
  <c r="AZ64" i="1"/>
  <c r="BA64" i="1"/>
  <c r="BB64" i="1"/>
  <c r="BC64" i="1"/>
  <c r="BD64" i="1"/>
  <c r="BE64" i="1"/>
  <c r="BF64" i="1"/>
  <c r="AV56" i="1"/>
  <c r="AW56" i="1"/>
  <c r="AX56" i="1"/>
  <c r="AY56" i="1"/>
  <c r="AZ56" i="1"/>
  <c r="BA56" i="1"/>
  <c r="BB56" i="1"/>
  <c r="BC56" i="1"/>
  <c r="BD56" i="1"/>
  <c r="BE56" i="1"/>
  <c r="BF56" i="1"/>
  <c r="AV48" i="1"/>
  <c r="AW48" i="1"/>
  <c r="AX48" i="1"/>
  <c r="AY48" i="1"/>
  <c r="AZ48" i="1"/>
  <c r="BA48" i="1"/>
  <c r="BB48" i="1"/>
  <c r="BC48" i="1"/>
  <c r="BD48" i="1"/>
  <c r="BE48" i="1"/>
  <c r="BF48" i="1"/>
  <c r="AV28" i="1"/>
  <c r="AW28" i="1"/>
  <c r="AX28" i="1"/>
  <c r="AY28" i="1"/>
  <c r="AZ28" i="1"/>
  <c r="BA28" i="1"/>
  <c r="BB28" i="1"/>
  <c r="BC28" i="1"/>
  <c r="BD28" i="1"/>
  <c r="BE28" i="1"/>
  <c r="BF28" i="1"/>
  <c r="AW24" i="1"/>
  <c r="AW25" i="1" s="1"/>
  <c r="AX24" i="1"/>
  <c r="AX25" i="1" s="1"/>
  <c r="AY24" i="1"/>
  <c r="AY25" i="1" s="1"/>
  <c r="AZ24" i="1"/>
  <c r="AZ25" i="1" s="1"/>
  <c r="BA24" i="1"/>
  <c r="BA25" i="1" s="1"/>
  <c r="BB24" i="1"/>
  <c r="BB25" i="1" s="1"/>
  <c r="BC24" i="1"/>
  <c r="BC25" i="1" s="1"/>
  <c r="BD24" i="1"/>
  <c r="BD25" i="1" s="1"/>
  <c r="BE24" i="1"/>
  <c r="BE25" i="1" s="1"/>
  <c r="BF24" i="1"/>
  <c r="BF25" i="1" s="1"/>
  <c r="AW21" i="1"/>
  <c r="AX21" i="1"/>
  <c r="AY21" i="1"/>
  <c r="AZ21" i="1"/>
  <c r="BA21" i="1"/>
  <c r="BB21" i="1"/>
  <c r="BC21" i="1"/>
  <c r="BD21" i="1"/>
  <c r="BE21" i="1"/>
  <c r="BF21" i="1"/>
  <c r="AC28" i="1"/>
  <c r="AD28" i="1"/>
  <c r="AV88" i="1"/>
  <c r="AW88" i="1"/>
  <c r="AX88" i="1"/>
  <c r="AY88" i="1"/>
  <c r="AZ88" i="1"/>
  <c r="BA88" i="1"/>
  <c r="BB88" i="1"/>
  <c r="BC88" i="1"/>
  <c r="BD88" i="1"/>
  <c r="BE88" i="1"/>
  <c r="BF88" i="1"/>
  <c r="AU28" i="1"/>
  <c r="Y83" i="1"/>
  <c r="Y82" i="1"/>
  <c r="Y81" i="1"/>
  <c r="Y80" i="1"/>
  <c r="Y79" i="1"/>
  <c r="Y76" i="1"/>
  <c r="Y75" i="1"/>
  <c r="X83" i="1"/>
  <c r="Z83" i="1" s="1"/>
  <c r="X82" i="1"/>
  <c r="X81" i="1"/>
  <c r="Z81" i="1" s="1"/>
  <c r="X80" i="1"/>
  <c r="Z80" i="1" s="1"/>
  <c r="X79" i="1"/>
  <c r="Z79" i="1" s="1"/>
  <c r="X76" i="1"/>
  <c r="Z76" i="1" s="1"/>
  <c r="X75" i="1"/>
  <c r="Z75" i="1" s="1"/>
  <c r="X70" i="1"/>
  <c r="Y70" i="1" s="1"/>
  <c r="Z70" i="1" s="1"/>
  <c r="X69" i="1"/>
  <c r="Y69" i="1" s="1"/>
  <c r="Z69" i="1" s="1"/>
  <c r="X68" i="1"/>
  <c r="Y68" i="1" s="1"/>
  <c r="Z68" i="1" s="1"/>
  <c r="X67" i="1"/>
  <c r="Y67" i="1" s="1"/>
  <c r="Z67" i="1" s="1"/>
  <c r="W74" i="1"/>
  <c r="W71" i="1"/>
  <c r="X71" i="1" s="1"/>
  <c r="Y71" i="1" s="1"/>
  <c r="Z59" i="1"/>
  <c r="Z60" i="1"/>
  <c r="Z62" i="1"/>
  <c r="Z63" i="1"/>
  <c r="Z58" i="1"/>
  <c r="Z50" i="1"/>
  <c r="Z51" i="1"/>
  <c r="Z52" i="1"/>
  <c r="Z53" i="1"/>
  <c r="Z54" i="1"/>
  <c r="Z55" i="1"/>
  <c r="V59" i="1"/>
  <c r="V60" i="1"/>
  <c r="V62" i="1"/>
  <c r="V63" i="1"/>
  <c r="V58" i="1"/>
  <c r="V50" i="1"/>
  <c r="V51" i="1"/>
  <c r="V52" i="1"/>
  <c r="V53" i="1"/>
  <c r="V54" i="1"/>
  <c r="V55" i="1"/>
  <c r="AU82" i="1"/>
  <c r="Z82" i="1" s="1"/>
  <c r="AU74" i="1"/>
  <c r="AU71" i="1"/>
  <c r="Z71" i="1" s="1"/>
  <c r="AT82" i="1"/>
  <c r="AT74" i="1"/>
  <c r="AT71" i="1"/>
  <c r="AU61" i="1"/>
  <c r="Z61" i="1" s="1"/>
  <c r="AU49" i="1"/>
  <c r="Z49" i="1" s="1"/>
  <c r="AT61" i="1"/>
  <c r="V61" i="1" s="1"/>
  <c r="AT49" i="1"/>
  <c r="V49" i="1" s="1"/>
  <c r="AS82" i="1"/>
  <c r="AS81" i="1"/>
  <c r="AS75" i="1"/>
  <c r="AS88" i="1" s="1"/>
  <c r="AS74" i="1"/>
  <c r="AS71" i="1"/>
  <c r="AR71" i="1"/>
  <c r="AQ71" i="1"/>
  <c r="AS61" i="1"/>
  <c r="AS49" i="1"/>
  <c r="AR82" i="1"/>
  <c r="AR74" i="1"/>
  <c r="AQ74" i="1"/>
  <c r="AR75" i="1"/>
  <c r="AR88" i="1" s="1"/>
  <c r="AR61" i="1"/>
  <c r="AR49" i="1"/>
  <c r="AQ84" i="1"/>
  <c r="AQ82" i="1"/>
  <c r="AQ75" i="1"/>
  <c r="AQ88" i="1" s="1"/>
  <c r="AQ61" i="1"/>
  <c r="AQ49" i="1"/>
  <c r="AP81" i="1"/>
  <c r="AP82" i="1"/>
  <c r="AP76" i="1"/>
  <c r="AP75" i="1"/>
  <c r="AP88" i="1" s="1"/>
  <c r="AP74" i="1"/>
  <c r="AP71" i="1"/>
  <c r="AP72" i="1"/>
  <c r="AQ72" i="1"/>
  <c r="AR72" i="1"/>
  <c r="AS72" i="1"/>
  <c r="AT72" i="1"/>
  <c r="AT88" i="1" s="1"/>
  <c r="AU72" i="1"/>
  <c r="AU88" i="1" s="1"/>
  <c r="AP77" i="1"/>
  <c r="AQ77" i="1"/>
  <c r="AR77" i="1"/>
  <c r="AS77" i="1"/>
  <c r="AT77" i="1"/>
  <c r="AU77" i="1"/>
  <c r="AP84" i="1"/>
  <c r="AR84" i="1"/>
  <c r="AS84" i="1"/>
  <c r="AT84" i="1"/>
  <c r="AU84" i="1"/>
  <c r="AO60" i="1"/>
  <c r="AO71" i="1"/>
  <c r="AO79" i="1"/>
  <c r="AO82" i="1"/>
  <c r="AO84" i="1"/>
  <c r="AO72" i="1"/>
  <c r="AO75" i="1"/>
  <c r="AO88" i="1" s="1"/>
  <c r="AO74" i="1"/>
  <c r="AO77" i="1"/>
  <c r="AP61" i="1"/>
  <c r="AP60" i="1"/>
  <c r="AP49" i="1"/>
  <c r="AP64" i="1"/>
  <c r="AQ64" i="1"/>
  <c r="AR64" i="1"/>
  <c r="AS64" i="1"/>
  <c r="AT64" i="1"/>
  <c r="AU64" i="1"/>
  <c r="AP48" i="1"/>
  <c r="AQ48" i="1"/>
  <c r="AR48" i="1"/>
  <c r="AS48" i="1"/>
  <c r="AT48" i="1"/>
  <c r="AU48" i="1"/>
  <c r="AP56" i="1"/>
  <c r="AQ56" i="1"/>
  <c r="AR56" i="1"/>
  <c r="AS56" i="1"/>
  <c r="AT56" i="1"/>
  <c r="AU56" i="1"/>
  <c r="T67" i="1"/>
  <c r="U67" i="1" s="1"/>
  <c r="AO61" i="1"/>
  <c r="AO64" i="1" s="1"/>
  <c r="AO48" i="1"/>
  <c r="AO56" i="1"/>
  <c r="AO49" i="1"/>
  <c r="U68" i="1"/>
  <c r="V68" i="1" s="1"/>
  <c r="F17" i="1"/>
  <c r="F16" i="1"/>
  <c r="F15" i="1"/>
  <c r="F11" i="1"/>
  <c r="Z17" i="1"/>
  <c r="Z16" i="1"/>
  <c r="Z15" i="1"/>
  <c r="Z11" i="1"/>
  <c r="V17" i="1"/>
  <c r="V16" i="1"/>
  <c r="V19" i="1"/>
  <c r="V15" i="1"/>
  <c r="V11" i="1"/>
  <c r="P13" i="1"/>
  <c r="O13" i="1"/>
  <c r="N13" i="1"/>
  <c r="M13" i="1"/>
  <c r="Q13" i="1" s="1"/>
  <c r="Q12" i="1" s="1"/>
  <c r="L13" i="1"/>
  <c r="K13" i="1"/>
  <c r="J13" i="1"/>
  <c r="I13" i="1"/>
  <c r="H13" i="1"/>
  <c r="G13" i="1"/>
  <c r="W72" i="1"/>
  <c r="W84" i="1"/>
  <c r="G38" i="1"/>
  <c r="D42" i="1"/>
  <c r="E42" i="1"/>
  <c r="G42" i="1"/>
  <c r="H42" i="1"/>
  <c r="I42" i="1"/>
  <c r="K42" i="1"/>
  <c r="L42" i="1"/>
  <c r="M42" i="1"/>
  <c r="O42" i="1"/>
  <c r="P42" i="1"/>
  <c r="Q42" i="1"/>
  <c r="S42" i="1"/>
  <c r="T42" i="1"/>
  <c r="U42" i="1"/>
  <c r="W42" i="1"/>
  <c r="X42" i="1"/>
  <c r="Y42" i="1"/>
  <c r="C42" i="1"/>
  <c r="AU41" i="1"/>
  <c r="D41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C41" i="1"/>
  <c r="AP42" i="1"/>
  <c r="AO41" i="1"/>
  <c r="AO42" i="1"/>
  <c r="H39" i="1"/>
  <c r="I39" i="1"/>
  <c r="K39" i="1"/>
  <c r="L39" i="1"/>
  <c r="M39" i="1"/>
  <c r="O39" i="1"/>
  <c r="P39" i="1"/>
  <c r="Q39" i="1"/>
  <c r="S39" i="1"/>
  <c r="T39" i="1"/>
  <c r="U39" i="1"/>
  <c r="W39" i="1"/>
  <c r="X39" i="1"/>
  <c r="Y39" i="1"/>
  <c r="G39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T70" i="1"/>
  <c r="U70" i="1" s="1"/>
  <c r="V70" i="1" s="1"/>
  <c r="T68" i="1"/>
  <c r="Y61" i="1"/>
  <c r="X61" i="1"/>
  <c r="W61" i="1"/>
  <c r="U61" i="1"/>
  <c r="U64" i="1"/>
  <c r="W64" i="1"/>
  <c r="X64" i="1"/>
  <c r="Y64" i="1"/>
  <c r="Y49" i="1"/>
  <c r="X49" i="1"/>
  <c r="W49" i="1"/>
  <c r="U49" i="1"/>
  <c r="Z5" i="1"/>
  <c r="Z6" i="1"/>
  <c r="Z7" i="1"/>
  <c r="Z8" i="1"/>
  <c r="Z4" i="1"/>
  <c r="V5" i="1"/>
  <c r="V6" i="1"/>
  <c r="V7" i="1"/>
  <c r="V8" i="1"/>
  <c r="V4" i="1"/>
  <c r="R5" i="1"/>
  <c r="R6" i="1"/>
  <c r="R7" i="1"/>
  <c r="R8" i="1"/>
  <c r="R4" i="1"/>
  <c r="N5" i="1"/>
  <c r="N6" i="1"/>
  <c r="N7" i="1"/>
  <c r="N8" i="1"/>
  <c r="N4" i="1"/>
  <c r="J5" i="1"/>
  <c r="J6" i="1"/>
  <c r="J7" i="1"/>
  <c r="J8" i="1"/>
  <c r="J4" i="1"/>
  <c r="F5" i="1"/>
  <c r="F6" i="1"/>
  <c r="F7" i="1"/>
  <c r="F8" i="1"/>
  <c r="F4" i="1"/>
  <c r="T83" i="1"/>
  <c r="U83" i="1" s="1"/>
  <c r="V83" i="1" s="1"/>
  <c r="S82" i="1"/>
  <c r="T81" i="1"/>
  <c r="U81" i="1" s="1"/>
  <c r="V81" i="1" s="1"/>
  <c r="T80" i="1"/>
  <c r="U80" i="1" s="1"/>
  <c r="V80" i="1" s="1"/>
  <c r="T79" i="1"/>
  <c r="U79" i="1" s="1"/>
  <c r="V79" i="1" s="1"/>
  <c r="T76" i="1"/>
  <c r="U76" i="1" s="1"/>
  <c r="V76" i="1" s="1"/>
  <c r="T75" i="1"/>
  <c r="U75" i="1" s="1"/>
  <c r="V75" i="1" s="1"/>
  <c r="S74" i="1"/>
  <c r="S71" i="1"/>
  <c r="T69" i="1"/>
  <c r="U69" i="1" s="1"/>
  <c r="V69" i="1" s="1"/>
  <c r="T61" i="1"/>
  <c r="T64" i="1" s="1"/>
  <c r="S61" i="1"/>
  <c r="S64" i="1" s="1"/>
  <c r="T49" i="1"/>
  <c r="T56" i="1" s="1"/>
  <c r="S49" i="1"/>
  <c r="T48" i="1"/>
  <c r="Z32" i="1"/>
  <c r="Z30" i="1"/>
  <c r="Z27" i="1"/>
  <c r="Z26" i="1"/>
  <c r="Z28" i="1" s="1"/>
  <c r="V32" i="1"/>
  <c r="V30" i="1"/>
  <c r="V27" i="1"/>
  <c r="V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W28" i="1"/>
  <c r="X28" i="1"/>
  <c r="Y28" i="1"/>
  <c r="AA28" i="1"/>
  <c r="AB28" i="1"/>
  <c r="C28" i="1"/>
  <c r="AG28" i="1"/>
  <c r="Z23" i="1"/>
  <c r="Z22" i="1"/>
  <c r="Z24" i="1" s="1"/>
  <c r="AQ42" i="1"/>
  <c r="AR42" i="1"/>
  <c r="AP41" i="1"/>
  <c r="AQ41" i="1"/>
  <c r="AR41" i="1"/>
  <c r="AS41" i="1"/>
  <c r="AT41" i="1"/>
  <c r="BD41" i="1"/>
  <c r="BE41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X39" i="1"/>
  <c r="AY39" i="1"/>
  <c r="AZ39" i="1"/>
  <c r="BA39" i="1"/>
  <c r="BB39" i="1"/>
  <c r="BC39" i="1"/>
  <c r="BD39" i="1"/>
  <c r="BE39" i="1"/>
  <c r="BF39" i="1"/>
  <c r="AH39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H38" i="1"/>
  <c r="AX37" i="1"/>
  <c r="AY37" i="1"/>
  <c r="AZ37" i="1"/>
  <c r="BA37" i="1"/>
  <c r="BB37" i="1"/>
  <c r="BC37" i="1"/>
  <c r="BD37" i="1"/>
  <c r="BE37" i="1"/>
  <c r="BF37" i="1"/>
  <c r="AU12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V23" i="1"/>
  <c r="V22" i="1"/>
  <c r="F23" i="1"/>
  <c r="F22" i="1"/>
  <c r="F24" i="1" s="1"/>
  <c r="W24" i="1"/>
  <c r="D24" i="1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X24" i="1"/>
  <c r="Y24" i="1"/>
  <c r="C24" i="1"/>
  <c r="AP24" i="1"/>
  <c r="AQ24" i="1"/>
  <c r="AR24" i="1"/>
  <c r="AS24" i="1"/>
  <c r="AT24" i="1"/>
  <c r="AU24" i="1"/>
  <c r="AO24" i="1"/>
  <c r="AJ21" i="1"/>
  <c r="AI21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G13" i="1"/>
  <c r="AT19" i="1"/>
  <c r="AU19" i="1"/>
  <c r="AS19" i="1"/>
  <c r="AG17" i="1"/>
  <c r="AH21" i="1"/>
  <c r="AK21" i="1"/>
  <c r="AL21" i="1"/>
  <c r="AM21" i="1"/>
  <c r="AN21" i="1"/>
  <c r="AO21" i="1"/>
  <c r="AP21" i="1"/>
  <c r="AQ21" i="1"/>
  <c r="AR21" i="1"/>
  <c r="AG21" i="1"/>
  <c r="Z20" i="1"/>
  <c r="Z19" i="1"/>
  <c r="V20" i="1"/>
  <c r="R20" i="1"/>
  <c r="R19" i="1"/>
  <c r="N20" i="1"/>
  <c r="N19" i="1"/>
  <c r="J20" i="1"/>
  <c r="J19" i="1"/>
  <c r="J21" i="1" s="1"/>
  <c r="F20" i="1"/>
  <c r="F19" i="1"/>
  <c r="D21" i="1"/>
  <c r="E21" i="1"/>
  <c r="G21" i="1"/>
  <c r="H21" i="1"/>
  <c r="I21" i="1"/>
  <c r="K21" i="1"/>
  <c r="L21" i="1"/>
  <c r="M21" i="1"/>
  <c r="O21" i="1"/>
  <c r="P21" i="1"/>
  <c r="Q21" i="1"/>
  <c r="S21" i="1"/>
  <c r="T21" i="1"/>
  <c r="U21" i="1"/>
  <c r="W21" i="1"/>
  <c r="X21" i="1"/>
  <c r="Y21" i="1"/>
  <c r="C21" i="1"/>
  <c r="L13" i="2" l="1"/>
  <c r="K13" i="2" s="1"/>
  <c r="N13" i="2"/>
  <c r="O13" i="2" s="1"/>
  <c r="AB21" i="1"/>
  <c r="AW29" i="1"/>
  <c r="AW40" i="1"/>
  <c r="AX29" i="1"/>
  <c r="AX40" i="1"/>
  <c r="AY29" i="1"/>
  <c r="AY40" i="1"/>
  <c r="AZ29" i="1"/>
  <c r="AZ40" i="1"/>
  <c r="BA29" i="1"/>
  <c r="BA40" i="1"/>
  <c r="BB29" i="1"/>
  <c r="BB40" i="1"/>
  <c r="BC29" i="1"/>
  <c r="BC40" i="1"/>
  <c r="BD40" i="1"/>
  <c r="BD29" i="1"/>
  <c r="BE29" i="1"/>
  <c r="BE40" i="1"/>
  <c r="BF29" i="1"/>
  <c r="BF40" i="1"/>
  <c r="AV42" i="1"/>
  <c r="AA19" i="1"/>
  <c r="AA21" i="1" s="1"/>
  <c r="AC21" i="1"/>
  <c r="V56" i="1"/>
  <c r="Z56" i="1"/>
  <c r="W77" i="1"/>
  <c r="X74" i="1"/>
  <c r="Z64" i="1"/>
  <c r="Z48" i="1"/>
  <c r="V64" i="1"/>
  <c r="V48" i="1"/>
  <c r="V67" i="1"/>
  <c r="Y56" i="1"/>
  <c r="Y48" i="1"/>
  <c r="X56" i="1"/>
  <c r="X48" i="1"/>
  <c r="W56" i="1"/>
  <c r="W48" i="1"/>
  <c r="U48" i="1"/>
  <c r="U56" i="1"/>
  <c r="T74" i="1"/>
  <c r="U74" i="1" s="1"/>
  <c r="S77" i="1"/>
  <c r="T71" i="1"/>
  <c r="S72" i="1"/>
  <c r="Z42" i="1"/>
  <c r="Z41" i="1"/>
  <c r="Z39" i="1"/>
  <c r="V39" i="1"/>
  <c r="V42" i="1"/>
  <c r="V41" i="1"/>
  <c r="R42" i="1"/>
  <c r="R41" i="1"/>
  <c r="R39" i="1"/>
  <c r="N42" i="1"/>
  <c r="N41" i="1"/>
  <c r="N39" i="1"/>
  <c r="J42" i="1"/>
  <c r="J41" i="1"/>
  <c r="J39" i="1"/>
  <c r="F41" i="1"/>
  <c r="F42" i="1"/>
  <c r="AV38" i="1"/>
  <c r="Z84" i="1"/>
  <c r="Y84" i="1"/>
  <c r="X84" i="1"/>
  <c r="AU86" i="1"/>
  <c r="AT86" i="1"/>
  <c r="AS86" i="1"/>
  <c r="AR86" i="1"/>
  <c r="AQ86" i="1"/>
  <c r="AP86" i="1"/>
  <c r="AO86" i="1"/>
  <c r="X72" i="1"/>
  <c r="W86" i="1"/>
  <c r="D25" i="1"/>
  <c r="E25" i="1"/>
  <c r="C25" i="1"/>
  <c r="AT21" i="1"/>
  <c r="AT25" i="1" s="1"/>
  <c r="AT42" i="1"/>
  <c r="AO25" i="1"/>
  <c r="AP25" i="1"/>
  <c r="AQ25" i="1"/>
  <c r="AR25" i="1"/>
  <c r="T77" i="1"/>
  <c r="S56" i="1"/>
  <c r="S48" i="1"/>
  <c r="AJ25" i="1"/>
  <c r="AJ40" i="1" s="1"/>
  <c r="AJ37" i="1"/>
  <c r="AI25" i="1"/>
  <c r="AI40" i="1" s="1"/>
  <c r="AI37" i="1"/>
  <c r="AU21" i="1"/>
  <c r="AU42" i="1"/>
  <c r="AS21" i="1"/>
  <c r="AS42" i="1"/>
  <c r="AH25" i="1"/>
  <c r="AH40" i="1" s="1"/>
  <c r="AH37" i="1"/>
  <c r="AK25" i="1"/>
  <c r="AK40" i="1" s="1"/>
  <c r="AK37" i="1"/>
  <c r="AL25" i="1"/>
  <c r="AL37" i="1"/>
  <c r="AM25" i="1"/>
  <c r="AM37" i="1"/>
  <c r="AN25" i="1"/>
  <c r="AN37" i="1"/>
  <c r="AO37" i="1"/>
  <c r="AP37" i="1"/>
  <c r="AQ37" i="1"/>
  <c r="AR37" i="1"/>
  <c r="AG25" i="1"/>
  <c r="AG40" i="1" s="1"/>
  <c r="J25" i="1"/>
  <c r="G37" i="1"/>
  <c r="G25" i="1"/>
  <c r="H37" i="1"/>
  <c r="H25" i="1"/>
  <c r="I25" i="1"/>
  <c r="I37" i="1"/>
  <c r="K25" i="1"/>
  <c r="K37" i="1"/>
  <c r="L25" i="1"/>
  <c r="L37" i="1"/>
  <c r="M37" i="1"/>
  <c r="M25" i="1"/>
  <c r="O37" i="1"/>
  <c r="O25" i="1"/>
  <c r="P25" i="1"/>
  <c r="P37" i="1"/>
  <c r="Q25" i="1"/>
  <c r="Q37" i="1"/>
  <c r="S37" i="1"/>
  <c r="S25" i="1"/>
  <c r="T25" i="1"/>
  <c r="T37" i="1"/>
  <c r="U37" i="1"/>
  <c r="U25" i="1"/>
  <c r="W37" i="1"/>
  <c r="W25" i="1"/>
  <c r="X25" i="1"/>
  <c r="X37" i="1"/>
  <c r="Y37" i="1"/>
  <c r="Y25" i="1"/>
  <c r="S84" i="1"/>
  <c r="S86" i="1" s="1"/>
  <c r="T82" i="1"/>
  <c r="V28" i="1"/>
  <c r="AS25" i="1"/>
  <c r="AH29" i="1"/>
  <c r="AJ29" i="1"/>
  <c r="AJ43" i="1" s="1"/>
  <c r="AK29" i="1"/>
  <c r="Z21" i="1"/>
  <c r="AU25" i="1"/>
  <c r="AU29" i="1" s="1"/>
  <c r="F21" i="1"/>
  <c r="AI29" i="1"/>
  <c r="V24" i="1"/>
  <c r="V21" i="1"/>
  <c r="R21" i="1"/>
  <c r="N21" i="1"/>
  <c r="AB25" i="1" l="1"/>
  <c r="AB29" i="1" s="1"/>
  <c r="AB31" i="1" s="1"/>
  <c r="AB33" i="1" s="1"/>
  <c r="AB34" i="1" s="1"/>
  <c r="AB37" i="1"/>
  <c r="AD21" i="1"/>
  <c r="AV20" i="1"/>
  <c r="AW43" i="1"/>
  <c r="AW31" i="1"/>
  <c r="AX43" i="1"/>
  <c r="AX31" i="1"/>
  <c r="AY43" i="1"/>
  <c r="AY31" i="1"/>
  <c r="AZ31" i="1"/>
  <c r="AZ43" i="1"/>
  <c r="BA43" i="1"/>
  <c r="BA31" i="1"/>
  <c r="BB31" i="1"/>
  <c r="BB43" i="1"/>
  <c r="BC31" i="1"/>
  <c r="BC43" i="1"/>
  <c r="BD31" i="1"/>
  <c r="BD43" i="1"/>
  <c r="BE31" i="1"/>
  <c r="BE43" i="1"/>
  <c r="BF31" i="1"/>
  <c r="BF43" i="1"/>
  <c r="AC25" i="1"/>
  <c r="AC29" i="1" s="1"/>
  <c r="AC31" i="1" s="1"/>
  <c r="AC33" i="1" s="1"/>
  <c r="AC34" i="1" s="1"/>
  <c r="AC37" i="1"/>
  <c r="AA25" i="1"/>
  <c r="AA29" i="1" s="1"/>
  <c r="AA31" i="1" s="1"/>
  <c r="AA33" i="1" s="1"/>
  <c r="AA34" i="1" s="1"/>
  <c r="AA37" i="1"/>
  <c r="X77" i="1"/>
  <c r="X86" i="1" s="1"/>
  <c r="Y74" i="1"/>
  <c r="V74" i="1"/>
  <c r="V77" i="1" s="1"/>
  <c r="U77" i="1"/>
  <c r="AW38" i="1"/>
  <c r="U71" i="1"/>
  <c r="T72" i="1"/>
  <c r="D29" i="1"/>
  <c r="D40" i="1"/>
  <c r="E29" i="1"/>
  <c r="E40" i="1"/>
  <c r="C29" i="1"/>
  <c r="C40" i="1"/>
  <c r="J29" i="1"/>
  <c r="J40" i="1"/>
  <c r="G29" i="1"/>
  <c r="G40" i="1"/>
  <c r="H29" i="1"/>
  <c r="H40" i="1"/>
  <c r="I29" i="1"/>
  <c r="I40" i="1"/>
  <c r="K29" i="1"/>
  <c r="K40" i="1"/>
  <c r="L29" i="1"/>
  <c r="L40" i="1"/>
  <c r="M29" i="1"/>
  <c r="M40" i="1"/>
  <c r="O29" i="1"/>
  <c r="O40" i="1"/>
  <c r="P29" i="1"/>
  <c r="P40" i="1"/>
  <c r="Q29" i="1"/>
  <c r="Q40" i="1"/>
  <c r="S29" i="1"/>
  <c r="S40" i="1"/>
  <c r="T29" i="1"/>
  <c r="T40" i="1"/>
  <c r="U29" i="1"/>
  <c r="U40" i="1"/>
  <c r="W29" i="1"/>
  <c r="W40" i="1"/>
  <c r="X29" i="1"/>
  <c r="X40" i="1"/>
  <c r="Y29" i="1"/>
  <c r="Y40" i="1"/>
  <c r="T84" i="1"/>
  <c r="T86" i="1" s="1"/>
  <c r="U82" i="1"/>
  <c r="Y72" i="1"/>
  <c r="Y86" i="1" s="1"/>
  <c r="Z72" i="1"/>
  <c r="AL29" i="1"/>
  <c r="AL40" i="1"/>
  <c r="AM29" i="1"/>
  <c r="AM43" i="1" s="1"/>
  <c r="AM40" i="1"/>
  <c r="AN29" i="1"/>
  <c r="AN40" i="1"/>
  <c r="AT40" i="1"/>
  <c r="AT29" i="1"/>
  <c r="AO40" i="1"/>
  <c r="AO29" i="1"/>
  <c r="AP40" i="1"/>
  <c r="AP29" i="1"/>
  <c r="AQ40" i="1"/>
  <c r="AQ29" i="1"/>
  <c r="AR40" i="1"/>
  <c r="AR29" i="1"/>
  <c r="AU37" i="1"/>
  <c r="AU43" i="1"/>
  <c r="AS37" i="1"/>
  <c r="AT37" i="1"/>
  <c r="AG29" i="1"/>
  <c r="S34" i="1"/>
  <c r="T34" i="1"/>
  <c r="AS29" i="1"/>
  <c r="AS40" i="1"/>
  <c r="AH31" i="1"/>
  <c r="AH43" i="1"/>
  <c r="AJ31" i="1"/>
  <c r="AK31" i="1"/>
  <c r="AK43" i="1"/>
  <c r="AL31" i="1"/>
  <c r="AL43" i="1"/>
  <c r="AM31" i="1"/>
  <c r="Z37" i="1"/>
  <c r="Z25" i="1"/>
  <c r="AU31" i="1"/>
  <c r="AU40" i="1"/>
  <c r="J37" i="1"/>
  <c r="F25" i="1"/>
  <c r="AI31" i="1"/>
  <c r="AI43" i="1"/>
  <c r="V25" i="1"/>
  <c r="V37" i="1"/>
  <c r="R37" i="1"/>
  <c r="R25" i="1"/>
  <c r="N25" i="1"/>
  <c r="N37" i="1"/>
  <c r="AD37" i="1" l="1"/>
  <c r="AD25" i="1"/>
  <c r="AD29" i="1" s="1"/>
  <c r="AD31" i="1" s="1"/>
  <c r="AD33" i="1" s="1"/>
  <c r="AD34" i="1" s="1"/>
  <c r="AV39" i="1"/>
  <c r="AW39" i="1"/>
  <c r="AV23" i="1"/>
  <c r="AV21" i="1"/>
  <c r="AW33" i="1"/>
  <c r="AW34" i="1" s="1"/>
  <c r="AW44" i="1"/>
  <c r="AX33" i="1"/>
  <c r="AX34" i="1" s="1"/>
  <c r="AX44" i="1"/>
  <c r="AY33" i="1"/>
  <c r="AY34" i="1" s="1"/>
  <c r="AY44" i="1"/>
  <c r="AZ33" i="1"/>
  <c r="AZ34" i="1" s="1"/>
  <c r="AZ44" i="1"/>
  <c r="BA33" i="1"/>
  <c r="BA34" i="1" s="1"/>
  <c r="BA44" i="1"/>
  <c r="BB33" i="1"/>
  <c r="BB34" i="1" s="1"/>
  <c r="BB44" i="1"/>
  <c r="BC33" i="1"/>
  <c r="BC34" i="1" s="1"/>
  <c r="BC44" i="1"/>
  <c r="BD33" i="1"/>
  <c r="BD34" i="1" s="1"/>
  <c r="BD44" i="1"/>
  <c r="BE33" i="1"/>
  <c r="BE34" i="1" s="1"/>
  <c r="BE44" i="1"/>
  <c r="BF33" i="1"/>
  <c r="BF34" i="1" s="1"/>
  <c r="BF44" i="1"/>
  <c r="AX38" i="1"/>
  <c r="U72" i="1"/>
  <c r="V71" i="1"/>
  <c r="V72" i="1" s="1"/>
  <c r="D43" i="1"/>
  <c r="D31" i="1"/>
  <c r="E43" i="1"/>
  <c r="E31" i="1"/>
  <c r="C43" i="1"/>
  <c r="C31" i="1"/>
  <c r="J43" i="1"/>
  <c r="J31" i="1"/>
  <c r="G43" i="1"/>
  <c r="G31" i="1"/>
  <c r="H43" i="1"/>
  <c r="H31" i="1"/>
  <c r="I43" i="1"/>
  <c r="I31" i="1"/>
  <c r="K43" i="1"/>
  <c r="K31" i="1"/>
  <c r="L43" i="1"/>
  <c r="L31" i="1"/>
  <c r="M43" i="1"/>
  <c r="M31" i="1"/>
  <c r="O43" i="1"/>
  <c r="O31" i="1"/>
  <c r="P43" i="1"/>
  <c r="P31" i="1"/>
  <c r="Q43" i="1"/>
  <c r="Q31" i="1"/>
  <c r="S43" i="1"/>
  <c r="S31" i="1"/>
  <c r="T43" i="1"/>
  <c r="T31" i="1"/>
  <c r="U43" i="1"/>
  <c r="U31" i="1"/>
  <c r="W43" i="1"/>
  <c r="W31" i="1"/>
  <c r="X43" i="1"/>
  <c r="X31" i="1"/>
  <c r="Y43" i="1"/>
  <c r="Y31" i="1"/>
  <c r="U84" i="1"/>
  <c r="V82" i="1"/>
  <c r="V84" i="1" s="1"/>
  <c r="Y77" i="1"/>
  <c r="Z74" i="1"/>
  <c r="Z77" i="1" s="1"/>
  <c r="Z86" i="1" s="1"/>
  <c r="Z29" i="1"/>
  <c r="Z40" i="1"/>
  <c r="F29" i="1"/>
  <c r="F40" i="1"/>
  <c r="R29" i="1"/>
  <c r="R40" i="1"/>
  <c r="N29" i="1"/>
  <c r="N40" i="1"/>
  <c r="V29" i="1"/>
  <c r="V40" i="1"/>
  <c r="AN43" i="1"/>
  <c r="AN31" i="1"/>
  <c r="AS31" i="1"/>
  <c r="AS43" i="1"/>
  <c r="AT43" i="1"/>
  <c r="AT31" i="1"/>
  <c r="AO43" i="1"/>
  <c r="AO31" i="1"/>
  <c r="AP43" i="1"/>
  <c r="AP31" i="1"/>
  <c r="AQ43" i="1"/>
  <c r="AQ31" i="1"/>
  <c r="AR43" i="1"/>
  <c r="AR31" i="1"/>
  <c r="AG43" i="1"/>
  <c r="AG31" i="1"/>
  <c r="AS44" i="1"/>
  <c r="AS33" i="1"/>
  <c r="AH44" i="1"/>
  <c r="AH33" i="1"/>
  <c r="AH34" i="1" s="1"/>
  <c r="AJ44" i="1"/>
  <c r="AJ33" i="1"/>
  <c r="AJ34" i="1" s="1"/>
  <c r="AK44" i="1"/>
  <c r="AK33" i="1"/>
  <c r="AK34" i="1" s="1"/>
  <c r="AL44" i="1"/>
  <c r="AL33" i="1"/>
  <c r="AL34" i="1" s="1"/>
  <c r="AM44" i="1"/>
  <c r="AM33" i="1"/>
  <c r="AM34" i="1" s="1"/>
  <c r="AU44" i="1"/>
  <c r="AU33" i="1"/>
  <c r="AI44" i="1"/>
  <c r="AI33" i="1"/>
  <c r="AI34" i="1" s="1"/>
  <c r="AV37" i="1" l="1"/>
  <c r="AW37" i="1"/>
  <c r="AV24" i="1"/>
  <c r="AV25" i="1" s="1"/>
  <c r="AV41" i="1"/>
  <c r="AY38" i="1"/>
  <c r="D44" i="1"/>
  <c r="D33" i="1"/>
  <c r="E44" i="1"/>
  <c r="E33" i="1"/>
  <c r="E34" i="1" s="1"/>
  <c r="C44" i="1"/>
  <c r="C33" i="1"/>
  <c r="J44" i="1"/>
  <c r="J33" i="1"/>
  <c r="J34" i="1" s="1"/>
  <c r="G44" i="1"/>
  <c r="G33" i="1"/>
  <c r="G34" i="1" s="1"/>
  <c r="H44" i="1"/>
  <c r="H33" i="1"/>
  <c r="H34" i="1" s="1"/>
  <c r="I44" i="1"/>
  <c r="I33" i="1"/>
  <c r="I34" i="1" s="1"/>
  <c r="K44" i="1"/>
  <c r="K33" i="1"/>
  <c r="K34" i="1" s="1"/>
  <c r="L44" i="1"/>
  <c r="L33" i="1"/>
  <c r="L34" i="1" s="1"/>
  <c r="M44" i="1"/>
  <c r="M33" i="1"/>
  <c r="M34" i="1" s="1"/>
  <c r="O44" i="1"/>
  <c r="O33" i="1"/>
  <c r="O34" i="1" s="1"/>
  <c r="P44" i="1"/>
  <c r="P33" i="1"/>
  <c r="P34" i="1" s="1"/>
  <c r="Q44" i="1"/>
  <c r="Q33" i="1"/>
  <c r="Q34" i="1" s="1"/>
  <c r="S44" i="1"/>
  <c r="S33" i="1"/>
  <c r="S66" i="1" s="1"/>
  <c r="T44" i="1"/>
  <c r="T33" i="1"/>
  <c r="T66" i="1" s="1"/>
  <c r="U44" i="1"/>
  <c r="U33" i="1"/>
  <c r="W44" i="1"/>
  <c r="W33" i="1"/>
  <c r="X44" i="1"/>
  <c r="X33" i="1"/>
  <c r="Y44" i="1"/>
  <c r="Y33" i="1"/>
  <c r="Z43" i="1"/>
  <c r="Z31" i="1"/>
  <c r="F43" i="1"/>
  <c r="F31" i="1"/>
  <c r="R43" i="1"/>
  <c r="R31" i="1"/>
  <c r="N43" i="1"/>
  <c r="N31" i="1"/>
  <c r="U86" i="1"/>
  <c r="V86" i="1"/>
  <c r="AS34" i="1"/>
  <c r="AS66" i="1"/>
  <c r="AU66" i="1"/>
  <c r="AU34" i="1"/>
  <c r="V43" i="1"/>
  <c r="V31" i="1"/>
  <c r="AN44" i="1"/>
  <c r="AN33" i="1"/>
  <c r="AN34" i="1" s="1"/>
  <c r="AT44" i="1"/>
  <c r="AT33" i="1"/>
  <c r="AO44" i="1"/>
  <c r="AO33" i="1"/>
  <c r="AP44" i="1"/>
  <c r="AP33" i="1"/>
  <c r="AQ44" i="1"/>
  <c r="AQ33" i="1"/>
  <c r="AR44" i="1"/>
  <c r="AR33" i="1"/>
  <c r="AG33" i="1"/>
  <c r="AG34" i="1" s="1"/>
  <c r="AG44" i="1"/>
  <c r="AV40" i="1" l="1"/>
  <c r="AV29" i="1"/>
  <c r="AZ38" i="1"/>
  <c r="U66" i="1"/>
  <c r="U34" i="1"/>
  <c r="W66" i="1"/>
  <c r="W34" i="1"/>
  <c r="X66" i="1"/>
  <c r="X34" i="1"/>
  <c r="Y66" i="1"/>
  <c r="Y34" i="1"/>
  <c r="Z44" i="1"/>
  <c r="Z33" i="1"/>
  <c r="F44" i="1"/>
  <c r="F33" i="1"/>
  <c r="F34" i="1" s="1"/>
  <c r="R44" i="1"/>
  <c r="R33" i="1"/>
  <c r="R34" i="1" s="1"/>
  <c r="N44" i="1"/>
  <c r="N33" i="1"/>
  <c r="N34" i="1" s="1"/>
  <c r="AT34" i="1"/>
  <c r="AT66" i="1"/>
  <c r="AO34" i="1"/>
  <c r="AO66" i="1"/>
  <c r="AP34" i="1"/>
  <c r="AP66" i="1"/>
  <c r="AQ34" i="1"/>
  <c r="AQ66" i="1"/>
  <c r="AR34" i="1"/>
  <c r="AR66" i="1"/>
  <c r="V44" i="1"/>
  <c r="V33" i="1"/>
  <c r="AV43" i="1" l="1"/>
  <c r="AV31" i="1"/>
  <c r="BA38" i="1"/>
  <c r="Z66" i="1"/>
  <c r="Z34" i="1"/>
  <c r="V66" i="1"/>
  <c r="V34" i="1"/>
  <c r="AV44" i="1" l="1"/>
  <c r="AV33" i="1"/>
  <c r="AV34" i="1" s="1"/>
  <c r="BB38" i="1"/>
  <c r="BC38" i="1" l="1"/>
  <c r="BD38" i="1" l="1"/>
  <c r="BE38" i="1" l="1"/>
  <c r="BF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tc={BA0D4D6F-95D6-450C-A8B2-36E216DA0317}</author>
  </authors>
  <commentList>
    <comment ref="E13" authorId="0" shapeId="0" xr:uid="{BA0D4D6F-95D6-450C-A8B2-36E216DA03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Bain&amp;Co. reported expected growth rate for next 10 years.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tc={6009ACD0-D568-4F20-A91B-60E307CB0DBC}</author>
    <author>tc={5D9CB2A7-E819-4237-BFBA-8798425F73AA}</author>
    <author>tc={1307B7E3-B750-4E8C-B659-9800193A1013}</author>
  </authors>
  <commentList>
    <comment ref="K11" authorId="0" shapeId="0" xr:uid="{6009ACD0-D568-4F20-A91B-60E307CB0D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N11" authorId="1" shapeId="0" xr:uid="{5D9CB2A7-E819-4237-BFBA-8798425F73AA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S11" authorId="2" shapeId="0" xr:uid="{1307B7E3-B750-4E8C-B659-9800193A1013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</commentList>
</comments>
</file>

<file path=xl/sharedStrings.xml><?xml version="1.0" encoding="utf-8"?>
<sst xmlns="http://schemas.openxmlformats.org/spreadsheetml/2006/main" count="143" uniqueCount="135">
  <si>
    <t>Americas</t>
  </si>
  <si>
    <t>Europe</t>
  </si>
  <si>
    <t>China</t>
  </si>
  <si>
    <t>Japan</t>
  </si>
  <si>
    <t>APAC</t>
  </si>
  <si>
    <t>iPhone</t>
  </si>
  <si>
    <t>Units</t>
  </si>
  <si>
    <t>Mac</t>
  </si>
  <si>
    <t>iPad</t>
  </si>
  <si>
    <t>Wearables</t>
  </si>
  <si>
    <t>Products</t>
  </si>
  <si>
    <t>Services</t>
  </si>
  <si>
    <t>Revenue</t>
  </si>
  <si>
    <t>COGS</t>
  </si>
  <si>
    <t>Gross Profit</t>
  </si>
  <si>
    <t>R&amp;D</t>
  </si>
  <si>
    <t>SG&amp;A</t>
  </si>
  <si>
    <t>OpEx</t>
  </si>
  <si>
    <t>Interest</t>
  </si>
  <si>
    <t>Pretax Income</t>
  </si>
  <si>
    <t>Taxes</t>
  </si>
  <si>
    <t>Net Income</t>
  </si>
  <si>
    <t>EPS</t>
  </si>
  <si>
    <t>Shares</t>
  </si>
  <si>
    <t>Revenue y/y</t>
  </si>
  <si>
    <t>iPhone y/y</t>
  </si>
  <si>
    <t>Services y/y</t>
  </si>
  <si>
    <t>Gross Margin</t>
  </si>
  <si>
    <t>ServicesMargin</t>
  </si>
  <si>
    <t>Products Margin</t>
  </si>
  <si>
    <t>Operating Margin</t>
  </si>
  <si>
    <t>Tax Rate</t>
  </si>
  <si>
    <t>Employees</t>
  </si>
  <si>
    <t>Nest Cash</t>
  </si>
  <si>
    <t>Cash</t>
  </si>
  <si>
    <t>AR</t>
  </si>
  <si>
    <t>Invesntories</t>
  </si>
  <si>
    <t>VTR</t>
  </si>
  <si>
    <t>OCA</t>
  </si>
  <si>
    <t>PP&amp;E</t>
  </si>
  <si>
    <t>ONCA</t>
  </si>
  <si>
    <t>Assets</t>
  </si>
  <si>
    <t>DR</t>
  </si>
  <si>
    <t>Debt</t>
  </si>
  <si>
    <t>ONCL</t>
  </si>
  <si>
    <t>SE</t>
  </si>
  <si>
    <t>L+SE</t>
  </si>
  <si>
    <t>Model NI</t>
  </si>
  <si>
    <t>Reported NI</t>
  </si>
  <si>
    <t>D&amp;A</t>
  </si>
  <si>
    <t>SBC</t>
  </si>
  <si>
    <t>Other</t>
  </si>
  <si>
    <t>WC</t>
  </si>
  <si>
    <t>CFFO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</si>
  <si>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</si>
  <si>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</si>
  <si>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</si>
  <si>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</si>
  <si>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</si>
  <si>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</si>
  <si>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</si>
  <si>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</si>
  <si>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</si>
  <si>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</si>
  <si>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</si>
  <si>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</si>
  <si>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</si>
  <si>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</si>
  <si>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</si>
  <si>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</si>
  <si>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</si>
  <si>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</si>
  <si>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</si>
  <si>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</si>
  <si>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</si>
  <si>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</si>
  <si>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</si>
  <si>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</si>
  <si>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</si>
  <si>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</si>
  <si>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</si>
  <si>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</si>
  <si>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</si>
  <si>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</si>
  <si>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</si>
  <si>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</si>
  <si>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</si>
  <si>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</si>
  <si>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Cost of Products</t>
  </si>
  <si>
    <t>Cost of Services</t>
  </si>
  <si>
    <t>Average Sale Price</t>
  </si>
  <si>
    <t>$USD in Millions</t>
  </si>
  <si>
    <t>Op Income</t>
  </si>
  <si>
    <t>OCL</t>
  </si>
  <si>
    <t>AP</t>
  </si>
  <si>
    <t>Retail</t>
  </si>
  <si>
    <t>FCF</t>
  </si>
  <si>
    <t>Q3 2025</t>
  </si>
  <si>
    <t>Q4 2025</t>
  </si>
  <si>
    <t>Equity</t>
  </si>
  <si>
    <t>Cost of Debt</t>
  </si>
  <si>
    <t>D/(D+E)</t>
  </si>
  <si>
    <t>After Tax cost of Debt</t>
  </si>
  <si>
    <t>Risk Free Rate (10yr T-yield)</t>
  </si>
  <si>
    <t>Expected Market Return</t>
  </si>
  <si>
    <t>Market Risk Premium</t>
  </si>
  <si>
    <t>Beta</t>
  </si>
  <si>
    <t>E/(D+E)</t>
  </si>
  <si>
    <t>Cost of Equity</t>
  </si>
  <si>
    <t>WACC</t>
  </si>
  <si>
    <r>
      <t xml:space="preserve">Unlevered FCF </t>
    </r>
    <r>
      <rPr>
        <i/>
        <sz val="11"/>
        <color theme="1"/>
        <rFont val="Aptos Narrow"/>
        <family val="2"/>
        <scheme val="minor"/>
      </rPr>
      <t>(USD in Millions)</t>
    </r>
  </si>
  <si>
    <t>Fiscal Year</t>
  </si>
  <si>
    <t>2024E</t>
  </si>
  <si>
    <t>2025E</t>
  </si>
  <si>
    <t>2026E</t>
  </si>
  <si>
    <t>2027E</t>
  </si>
  <si>
    <t>2028E</t>
  </si>
  <si>
    <t>2029E</t>
  </si>
  <si>
    <t>Unlevered FCF</t>
  </si>
  <si>
    <t>Projected Year</t>
  </si>
  <si>
    <t>PV of FCF</t>
  </si>
  <si>
    <t>Implied Share Price</t>
  </si>
  <si>
    <t>Sensitivity Table</t>
  </si>
  <si>
    <t>EV/EBIT</t>
  </si>
  <si>
    <t>Sum of PV of FCF</t>
  </si>
  <si>
    <t>Growth Rate</t>
  </si>
  <si>
    <t>Industry 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</si>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</sst>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6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1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9" fontId="0" fillId="0" borderId="0" xfId="2" applyFont="1"/>
    <xf numFmtId="0" fontId="3" fillId="0" borderId="0" xfId="0" applyFont="1"/>
    <xf numFmtId="9" fontId="3" fillId="0" borderId="0" xfId="2" applyFont="1"/>
    <xf numFmtId="9" fontId="1" fillId="0" borderId="0" xfId="2" applyFont="1"/>
    <xf numFmtId="44" fontId="0" fillId="0" borderId="0" xfId="1" applyFont="1"/>
    <xf numFmtId="166" fontId="0" fillId="0" borderId="0" xfId="3" applyNumberFormat="1" applyFont="1"/>
    <xf numFmtId="3" fontId="0" fillId="0" borderId="0" xfId="0" applyNumberFormat="1" applyAlignment="1">
      <alignment horizontal="right"/>
    </xf>
    <xf numFmtId="3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1" fillId="0" borderId="0" xfId="2" applyNumberFormat="1" applyFont="1"/>
    <xf numFmtId="3" fontId="0" fillId="0" borderId="0" xfId="2" applyNumberFormat="1" applyFont="1"/>
    <xf numFmtId="3" fontId="3" fillId="0" borderId="0" xfId="2" applyNumberFormat="1" applyFont="1"/>
    <xf numFmtId="3" fontId="3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3" fontId="0" fillId="0" borderId="1" xfId="0" applyNumberFormat="1" applyBorder="1"/>
    <xf numFmtId="3" fontId="1" fillId="0" borderId="1" xfId="0" applyNumberFormat="1" applyFont="1" applyBorder="1"/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0" fillId="3" borderId="0" xfId="0" applyNumberFormat="1" applyFill="1"/>
    <xf numFmtId="0" fontId="4" fillId="2" borderId="0" xfId="0" applyFont="1" applyFill="1" applyAlignment="1">
      <alignment horizontal="center" vertical="center" textRotation="90"/>
    </xf>
    <xf numFmtId="0" fontId="0" fillId="3" borderId="0" xfId="0" applyFill="1"/>
    <xf numFmtId="0" fontId="4" fillId="2" borderId="0" xfId="0" applyFont="1" applyFill="1"/>
    <xf numFmtId="3" fontId="0" fillId="0" borderId="0" xfId="3" applyNumberFormat="1" applyFont="1"/>
    <xf numFmtId="0" fontId="1" fillId="3" borderId="1" xfId="0" applyFont="1" applyFill="1" applyBorder="1"/>
    <xf numFmtId="0" fontId="0" fillId="3" borderId="1" xfId="0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10949</xdr:colOff>
      <xdr:row>0</xdr:row>
      <xdr:rowOff>0</xdr:rowOff>
    </xdr:from>
    <xdr:to>
      <xdr:col>26</xdr:col>
      <xdr:colOff>10950</xdr:colOff>
      <xdr:row>90</xdr:row>
      <xdr:rowOff>43793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1D57AE-C484-EF56-4EA5-BBB2D3DA6B2A}"/>
            </a:ext>
          </a:extLst>
        </xdr:cNvPr>
        <xdr:cNvCxnSpPr/>
      </xdr:nvCxnSpPr>
      <xdr:spPr>
        <a:xfrm flipH="1">
          <a:off x="18995259" y="0"/>
          <a:ext cx="1" cy="167946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656896</xdr:colOff>
      <xdr:row>0</xdr:row>
      <xdr:rowOff>0</xdr:rowOff>
    </xdr:from>
    <xdr:to>
      <xdr:col>46</xdr:col>
      <xdr:colOff>656896</xdr:colOff>
      <xdr:row>90</xdr:row>
      <xdr:rowOff>54741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128D6D6-7971-448E-8DB9-F56F9412887F}"/>
            </a:ext>
          </a:extLst>
        </xdr:cNvPr>
        <xdr:cNvCxnSpPr/>
      </xdr:nvCxnSpPr>
      <xdr:spPr>
        <a:xfrm>
          <a:off x="32779137" y="0"/>
          <a:ext cx="0" cy="168056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4d300fcf58872a0/Investment%20Research/Intel%20Model.xlsx" TargetMode="External"/><Relationship Id="rId1" Type="http://schemas.openxmlformats.org/officeDocument/2006/relationships/externalLinkPath" Target="Intel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Model"/>
      <sheetName val="WACC"/>
      <sheetName val="DCF"/>
    </sheetNames>
    <sheetDataSet>
      <sheetData sheetId="0">
        <row r="4">
          <cell r="J4">
            <v>4267</v>
          </cell>
        </row>
        <row r="8">
          <cell r="J8">
            <v>110013.85999999999</v>
          </cell>
        </row>
      </sheetData>
      <sheetData sheetId="1">
        <row r="30">
          <cell r="AQ30">
            <v>31</v>
          </cell>
        </row>
        <row r="42">
          <cell r="BF42">
            <v>0.08</v>
          </cell>
        </row>
        <row r="45">
          <cell r="AQ45">
            <v>-16115</v>
          </cell>
        </row>
        <row r="55">
          <cell r="AQ55">
            <v>46978</v>
          </cell>
        </row>
        <row r="76"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</sheetData>
      <sheetData sheetId="2">
        <row r="18">
          <cell r="C18">
            <v>6.7869952248210394E-2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iel Dantas Jr" id="{AA763246-0D21-4D92-91C3-15E120DC780E}" userId="64d300fcf58872a0" providerId="Windows Live"/>
  <person displayName="Martin Shkreli" id="{2082D825-5D9A-4706-A7BB-8D3EA0F34BD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" dT="2024-10-14T17:45:23.47" personId="{AA763246-0D21-4D92-91C3-15E120DC780E}" id="{BA0D4D6F-95D6-450C-A8B2-36E216DA0317}">
    <text>Source: Bain&amp;Co. reported expected growth rate for next 10 years.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1" dT="2022-08-26T02:45:15.22" personId="{2082D825-5D9A-4706-A7BB-8D3EA0F34BDE}" id="{6009ACD0-D568-4F20-A91B-60E307CB0DBC}">
    <text>Releases iPhone 12</text>
  </threadedComment>
  <threadedComment ref="N11" dT="2022-08-26T02:45:35.85" personId="{2082D825-5D9A-4706-A7BB-8D3EA0F34BDE}" id="{5D9CB2A7-E819-4237-BFBA-8798425F73AA}">
    <text>iPhone 13 launch</text>
  </threadedComment>
  <threadedComment ref="S11" dT="2023-05-05T02:37:23.63" personId="{2082D825-5D9A-4706-A7BB-8D3EA0F34BDE}" id="{1307B7E3-B750-4E8C-B659-9800193A1013}">
    <text>2B installed base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58C5-1226-4BF7-8960-1A96D0BFEE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184B-11CA-4C6A-9C9C-4A19F0176D31}">
  <dimension ref="A1"/>
  <sheetViews>
    <sheetView workbookViewId="0">
      <selection activeCell="D74" sqref="D7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3369-868D-4432-BA44-30A3EDBF2BAA}">
  <dimension ref="B3:C18"/>
  <sheetViews>
    <sheetView workbookViewId="0">
      <selection activeCell="C3" sqref="C3"/>
    </sheetView>
  </sheetViews>
  <sheetFormatPr defaultRowHeight="15" x14ac:dyDescent="0.25"/>
  <cols>
    <col min="2" max="2" width="27.140625" customWidth="1"/>
    <col min="3" max="3" width="11.140625" customWidth="1"/>
  </cols>
  <sheetData>
    <row r="3" spans="2:3" x14ac:dyDescent="0.25">
      <c r="B3" t="s">
        <v>99</v>
      </c>
    </row>
    <row r="4" spans="2:3" x14ac:dyDescent="0.25">
      <c r="B4" t="s">
        <v>43</v>
      </c>
    </row>
    <row r="6" spans="2:3" x14ac:dyDescent="0.25">
      <c r="B6" t="s">
        <v>100</v>
      </c>
    </row>
    <row r="7" spans="2:3" x14ac:dyDescent="0.25">
      <c r="B7" t="s">
        <v>31</v>
      </c>
    </row>
    <row r="8" spans="2:3" x14ac:dyDescent="0.25">
      <c r="B8" t="s">
        <v>101</v>
      </c>
    </row>
    <row r="9" spans="2:3" x14ac:dyDescent="0.25">
      <c r="B9" s="22" t="s">
        <v>102</v>
      </c>
      <c r="C9" s="23"/>
    </row>
    <row r="11" spans="2:3" x14ac:dyDescent="0.25">
      <c r="B11" t="s">
        <v>103</v>
      </c>
    </row>
    <row r="12" spans="2:3" x14ac:dyDescent="0.25">
      <c r="B12" t="s">
        <v>104</v>
      </c>
    </row>
    <row r="13" spans="2:3" x14ac:dyDescent="0.25">
      <c r="B13" t="s">
        <v>105</v>
      </c>
    </row>
    <row r="14" spans="2:3" x14ac:dyDescent="0.25">
      <c r="B14" t="s">
        <v>106</v>
      </c>
    </row>
    <row r="15" spans="2:3" x14ac:dyDescent="0.25">
      <c r="B15" t="s">
        <v>107</v>
      </c>
    </row>
    <row r="16" spans="2:3" x14ac:dyDescent="0.25">
      <c r="B16" s="22" t="s">
        <v>108</v>
      </c>
      <c r="C16" s="23"/>
    </row>
    <row r="17" spans="2:3" x14ac:dyDescent="0.25">
      <c r="B17" s="1"/>
    </row>
    <row r="18" spans="2:3" x14ac:dyDescent="0.25">
      <c r="B18" s="22" t="s">
        <v>109</v>
      </c>
      <c r="C1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4719-3023-4132-8425-7CB949102319}">
  <dimension ref="B3:V23"/>
  <sheetViews>
    <sheetView tabSelected="1" workbookViewId="0">
      <selection activeCell="P21" sqref="P21"/>
    </sheetView>
  </sheetViews>
  <sheetFormatPr defaultRowHeight="15" x14ac:dyDescent="0.25"/>
  <sheetData>
    <row r="3" spans="2:22" x14ac:dyDescent="0.25">
      <c r="B3" t="s">
        <v>110</v>
      </c>
    </row>
    <row r="4" spans="2:22" x14ac:dyDescent="0.25">
      <c r="B4" t="s">
        <v>111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>
        <v>2023</v>
      </c>
      <c r="Q4" s="24" t="s">
        <v>112</v>
      </c>
      <c r="R4" s="24" t="s">
        <v>113</v>
      </c>
      <c r="S4" s="24" t="s">
        <v>114</v>
      </c>
      <c r="T4" s="24" t="s">
        <v>115</v>
      </c>
      <c r="U4" s="24" t="s">
        <v>116</v>
      </c>
      <c r="V4" s="24" t="s">
        <v>117</v>
      </c>
    </row>
    <row r="5" spans="2:22" x14ac:dyDescent="0.25">
      <c r="B5" t="s">
        <v>118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>[1]Model!AR76</f>
        <v>0</v>
      </c>
      <c r="R5" s="2">
        <f>[1]Model!AS76</f>
        <v>0</v>
      </c>
      <c r="S5" s="2">
        <f>[1]Model!AT76</f>
        <v>0</v>
      </c>
      <c r="T5" s="2">
        <f>[1]Model!AU76</f>
        <v>0</v>
      </c>
      <c r="U5" s="2">
        <f>[1]Model!AV76</f>
        <v>0</v>
      </c>
      <c r="V5" s="2">
        <f>[1]Model!AW76</f>
        <v>0</v>
      </c>
    </row>
    <row r="7" spans="2:22" x14ac:dyDescent="0.25">
      <c r="B7" t="s">
        <v>119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</row>
    <row r="8" spans="2:22" x14ac:dyDescent="0.25">
      <c r="B8" s="22" t="s">
        <v>120</v>
      </c>
      <c r="C8" s="23"/>
      <c r="D8" s="23"/>
      <c r="E8" s="2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26"/>
      <c r="S8" s="26"/>
      <c r="T8" s="26"/>
      <c r="U8" s="26"/>
      <c r="V8" s="26"/>
    </row>
    <row r="10" spans="2:22" x14ac:dyDescent="0.25">
      <c r="B10" s="27" t="s">
        <v>121</v>
      </c>
      <c r="C10" s="27"/>
      <c r="D10" s="27"/>
      <c r="E10" s="27"/>
      <c r="I10" s="27" t="s">
        <v>122</v>
      </c>
      <c r="J10" s="27"/>
      <c r="K10" s="27"/>
      <c r="L10" s="27"/>
      <c r="M10" s="27"/>
      <c r="N10" s="27"/>
      <c r="O10" s="27"/>
    </row>
    <row r="11" spans="2:22" x14ac:dyDescent="0.25">
      <c r="B11" t="s">
        <v>123</v>
      </c>
      <c r="E11" s="14">
        <f>[1]Overview!J8/[1]Model!AQ30</f>
        <v>3548.8341935483868</v>
      </c>
    </row>
    <row r="12" spans="2:22" x14ac:dyDescent="0.25">
      <c r="B12" t="s">
        <v>124</v>
      </c>
      <c r="K12" s="27" t="s">
        <v>125</v>
      </c>
      <c r="L12" s="27"/>
      <c r="M12" s="27"/>
      <c r="N12" s="27"/>
      <c r="O12" s="27"/>
    </row>
    <row r="13" spans="2:22" x14ac:dyDescent="0.25">
      <c r="B13" t="s">
        <v>126</v>
      </c>
      <c r="E13" s="28">
        <v>0.10059999999999999</v>
      </c>
      <c r="K13" s="29">
        <f>+L13-0.005</f>
        <v>9.0599999999999986E-2</v>
      </c>
      <c r="L13" s="29">
        <f>+M13-0.005</f>
        <v>9.5599999999999991E-2</v>
      </c>
      <c r="M13" s="29">
        <f>E13</f>
        <v>0.10059999999999999</v>
      </c>
      <c r="N13" s="29">
        <f>+M13+0.005</f>
        <v>0.1056</v>
      </c>
      <c r="O13" s="29">
        <f>+N13+0.005</f>
        <v>0.1106</v>
      </c>
    </row>
    <row r="14" spans="2:22" x14ac:dyDescent="0.25">
      <c r="B14" t="s">
        <v>109</v>
      </c>
      <c r="E14" s="28">
        <f>[1]WACC!C18</f>
        <v>6.7869952248210394E-2</v>
      </c>
      <c r="I14" s="30" t="s">
        <v>109</v>
      </c>
      <c r="J14" s="29">
        <f>+J15-0.005</f>
        <v>6.0400000000000002E-2</v>
      </c>
    </row>
    <row r="15" spans="2:22" x14ac:dyDescent="0.25">
      <c r="B15" t="s">
        <v>127</v>
      </c>
      <c r="E15" s="14">
        <f>(P5*1.05)/([1]Model!BF42-1.05)</f>
        <v>0</v>
      </c>
      <c r="I15" s="30"/>
      <c r="J15" s="29">
        <f>+J16-0.005</f>
        <v>6.54E-2</v>
      </c>
      <c r="L15" s="31"/>
      <c r="M15" s="31"/>
      <c r="N15" s="31"/>
    </row>
    <row r="16" spans="2:22" x14ac:dyDescent="0.25">
      <c r="B16" t="s">
        <v>128</v>
      </c>
      <c r="E16" s="2">
        <f>+E15/((1.08)^$E$14)</f>
        <v>0</v>
      </c>
      <c r="I16" s="30"/>
      <c r="J16" s="29">
        <v>7.0400000000000004E-2</v>
      </c>
      <c r="L16" s="31"/>
      <c r="M16" s="32"/>
      <c r="N16" s="31"/>
    </row>
    <row r="17" spans="2:14" x14ac:dyDescent="0.25">
      <c r="B17" t="s">
        <v>129</v>
      </c>
      <c r="E17" s="2">
        <f>[1]Overview!J8</f>
        <v>110013.85999999999</v>
      </c>
      <c r="I17" s="30"/>
      <c r="J17" s="29">
        <f>+J16+0.005</f>
        <v>7.5400000000000009E-2</v>
      </c>
      <c r="L17" s="31"/>
      <c r="M17" s="31"/>
      <c r="N17" s="31"/>
    </row>
    <row r="18" spans="2:14" x14ac:dyDescent="0.25">
      <c r="B18" t="s">
        <v>130</v>
      </c>
      <c r="E18" s="33">
        <f>[1]Model!AQ45</f>
        <v>-16115</v>
      </c>
      <c r="I18" s="30"/>
      <c r="J18" s="29">
        <f>+J17+0.005</f>
        <v>8.0400000000000013E-2</v>
      </c>
    </row>
    <row r="19" spans="2:14" x14ac:dyDescent="0.25">
      <c r="B19" t="s">
        <v>131</v>
      </c>
      <c r="E19" s="14">
        <f>[1]Model!AQ55</f>
        <v>46978</v>
      </c>
    </row>
    <row r="20" spans="2:14" x14ac:dyDescent="0.25">
      <c r="B20" t="s">
        <v>132</v>
      </c>
    </row>
    <row r="21" spans="2:14" x14ac:dyDescent="0.25">
      <c r="B21" s="22" t="s">
        <v>133</v>
      </c>
      <c r="C21" s="23"/>
      <c r="D21" s="23"/>
      <c r="E21" s="22"/>
    </row>
    <row r="22" spans="2:14" x14ac:dyDescent="0.25">
      <c r="B22" s="1" t="s">
        <v>134</v>
      </c>
      <c r="E22" s="3">
        <f>[1]Overview!J4</f>
        <v>4267</v>
      </c>
    </row>
    <row r="23" spans="2:14" x14ac:dyDescent="0.25">
      <c r="B23" s="34" t="s">
        <v>121</v>
      </c>
      <c r="C23" s="35"/>
      <c r="D23" s="35"/>
      <c r="E23" s="34"/>
    </row>
  </sheetData>
  <mergeCells count="4">
    <mergeCell ref="B10:E10"/>
    <mergeCell ref="I10:O10"/>
    <mergeCell ref="K12:O12"/>
    <mergeCell ref="I14:I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52AB-E985-4AF5-9CD8-577DDE99CB79}">
  <dimension ref="B1:BG103"/>
  <sheetViews>
    <sheetView zoomScale="87" zoomScaleNormal="87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BH17" sqref="BH17"/>
    </sheetView>
  </sheetViews>
  <sheetFormatPr defaultRowHeight="15" x14ac:dyDescent="0.25"/>
  <cols>
    <col min="2" max="2" width="18.42578125" bestFit="1" customWidth="1"/>
    <col min="3" max="3" width="11.85546875" bestFit="1" customWidth="1"/>
    <col min="4" max="6" width="10.42578125" bestFit="1" customWidth="1"/>
    <col min="7" max="7" width="11.5703125" bestFit="1" customWidth="1"/>
    <col min="8" max="10" width="10.42578125" bestFit="1" customWidth="1"/>
    <col min="11" max="11" width="11.5703125" bestFit="1" customWidth="1"/>
    <col min="12" max="14" width="10.42578125" bestFit="1" customWidth="1"/>
    <col min="15" max="15" width="11.5703125" bestFit="1" customWidth="1"/>
    <col min="16" max="18" width="10.42578125" bestFit="1" customWidth="1"/>
    <col min="19" max="19" width="11.5703125" bestFit="1" customWidth="1"/>
    <col min="21" max="21" width="10.5703125" customWidth="1"/>
    <col min="22" max="22" width="10.42578125" bestFit="1" customWidth="1"/>
    <col min="23" max="23" width="11.5703125" bestFit="1" customWidth="1"/>
    <col min="24" max="26" width="10.42578125" bestFit="1" customWidth="1"/>
    <col min="27" max="27" width="11.5703125" bestFit="1" customWidth="1"/>
    <col min="28" max="28" width="10.42578125" bestFit="1" customWidth="1"/>
    <col min="29" max="30" width="10.42578125" customWidth="1"/>
    <col min="33" max="34" width="8.7109375" bestFit="1" customWidth="1"/>
    <col min="35" max="48" width="9.85546875" bestFit="1" customWidth="1"/>
  </cols>
  <sheetData>
    <row r="1" spans="2:59" x14ac:dyDescent="0.25">
      <c r="AA1" s="2"/>
      <c r="AB1" s="2"/>
      <c r="AC1" s="2"/>
      <c r="AD1" s="2"/>
    </row>
    <row r="2" spans="2:59" x14ac:dyDescent="0.25">
      <c r="B2" t="s">
        <v>91</v>
      </c>
      <c r="C2" s="4">
        <v>43463</v>
      </c>
      <c r="D2" s="4">
        <v>43554</v>
      </c>
      <c r="E2" s="4">
        <v>43645</v>
      </c>
      <c r="F2" s="4">
        <v>43736</v>
      </c>
      <c r="G2" s="4">
        <v>43827</v>
      </c>
      <c r="H2" s="4">
        <v>43918</v>
      </c>
      <c r="I2" s="5">
        <v>44009</v>
      </c>
      <c r="J2" s="5">
        <v>44100</v>
      </c>
      <c r="K2" s="5">
        <v>44191</v>
      </c>
      <c r="L2" s="5">
        <v>44282</v>
      </c>
      <c r="M2" s="5">
        <v>44373</v>
      </c>
      <c r="N2" s="5">
        <v>44464</v>
      </c>
      <c r="O2" s="5">
        <v>44555</v>
      </c>
      <c r="P2" s="5">
        <v>44646</v>
      </c>
      <c r="Q2" s="5">
        <v>44737</v>
      </c>
      <c r="R2" s="5">
        <v>44828</v>
      </c>
      <c r="S2" s="5">
        <v>44926</v>
      </c>
      <c r="T2" s="5">
        <v>45017</v>
      </c>
      <c r="U2" s="5">
        <v>45108</v>
      </c>
      <c r="V2" s="5">
        <v>45199</v>
      </c>
      <c r="W2" s="5">
        <v>45290</v>
      </c>
      <c r="X2" s="5">
        <v>45381</v>
      </c>
      <c r="Y2" s="5">
        <v>45472</v>
      </c>
      <c r="Z2" s="5">
        <v>45563</v>
      </c>
      <c r="AA2" s="2">
        <v>45656</v>
      </c>
      <c r="AB2" s="2">
        <v>45746</v>
      </c>
      <c r="AC2" s="2">
        <v>45837</v>
      </c>
      <c r="AD2" s="2">
        <v>45928</v>
      </c>
    </row>
    <row r="3" spans="2:59" x14ac:dyDescent="0.25"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  <c r="U3" t="s">
        <v>80</v>
      </c>
      <c r="V3" t="s">
        <v>81</v>
      </c>
      <c r="W3" t="s">
        <v>82</v>
      </c>
      <c r="X3" t="s">
        <v>83</v>
      </c>
      <c r="Y3" t="s">
        <v>84</v>
      </c>
      <c r="Z3" t="s">
        <v>85</v>
      </c>
      <c r="AA3" s="2" t="s">
        <v>86</v>
      </c>
      <c r="AB3" s="2" t="s">
        <v>87</v>
      </c>
      <c r="AC3" s="2" t="s">
        <v>97</v>
      </c>
      <c r="AD3" s="2" t="s">
        <v>98</v>
      </c>
      <c r="AG3">
        <v>2010</v>
      </c>
      <c r="AH3">
        <v>2011</v>
      </c>
      <c r="AI3">
        <v>2012</v>
      </c>
      <c r="AJ3">
        <v>2013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>
        <v>2020</v>
      </c>
      <c r="AR3">
        <v>2021</v>
      </c>
      <c r="AS3">
        <v>2022</v>
      </c>
      <c r="AT3">
        <v>2023</v>
      </c>
      <c r="AU3">
        <v>2024</v>
      </c>
      <c r="AV3">
        <v>2025</v>
      </c>
      <c r="AW3">
        <v>2026</v>
      </c>
      <c r="AX3">
        <v>2027</v>
      </c>
      <c r="AY3">
        <v>2028</v>
      </c>
      <c r="AZ3">
        <v>2029</v>
      </c>
      <c r="BA3">
        <v>2030</v>
      </c>
      <c r="BB3">
        <v>2031</v>
      </c>
      <c r="BC3">
        <v>2032</v>
      </c>
      <c r="BD3">
        <v>2033</v>
      </c>
      <c r="BE3">
        <v>2034</v>
      </c>
      <c r="BF3">
        <v>2035</v>
      </c>
    </row>
    <row r="4" spans="2:59" x14ac:dyDescent="0.25">
      <c r="B4" t="s">
        <v>0</v>
      </c>
      <c r="C4" s="2">
        <v>36940</v>
      </c>
      <c r="D4" s="2">
        <v>25596</v>
      </c>
      <c r="E4" s="2">
        <v>25056</v>
      </c>
      <c r="F4" s="2">
        <f>+AP4-C4-D4-E4</f>
        <v>29322</v>
      </c>
      <c r="G4" s="2">
        <v>41367</v>
      </c>
      <c r="H4" s="2">
        <v>25473</v>
      </c>
      <c r="I4" s="2">
        <v>27018</v>
      </c>
      <c r="J4" s="2">
        <f>+AQ4-G4-H4-I4</f>
        <v>30698</v>
      </c>
      <c r="K4" s="2">
        <v>46310</v>
      </c>
      <c r="L4" s="2">
        <v>34306</v>
      </c>
      <c r="M4" s="2">
        <v>35870</v>
      </c>
      <c r="N4" s="2">
        <f>+AR4-K4-L4-M4</f>
        <v>36820</v>
      </c>
      <c r="O4" s="2">
        <v>51496</v>
      </c>
      <c r="P4" s="2">
        <v>40882</v>
      </c>
      <c r="Q4" s="2">
        <v>37472</v>
      </c>
      <c r="R4" s="2">
        <f>+AS4-O4-P4-Q4</f>
        <v>39808</v>
      </c>
      <c r="S4" s="2">
        <v>49278</v>
      </c>
      <c r="T4" s="2">
        <v>37784</v>
      </c>
      <c r="U4" s="2">
        <v>35383</v>
      </c>
      <c r="V4" s="2">
        <f>+AT4-S4-T4-U4</f>
        <v>40115</v>
      </c>
      <c r="W4" s="2">
        <v>50430</v>
      </c>
      <c r="X4" s="2">
        <v>37273</v>
      </c>
      <c r="Y4" s="2">
        <v>37678</v>
      </c>
      <c r="Z4" s="2">
        <f>+AU4-W4-X4-Y4</f>
        <v>41664</v>
      </c>
      <c r="AA4" s="2"/>
      <c r="AB4" s="2"/>
      <c r="AC4" s="2"/>
      <c r="AD4" s="2"/>
      <c r="AG4" s="2">
        <v>24498</v>
      </c>
      <c r="AH4" s="2">
        <v>38315</v>
      </c>
      <c r="AI4" s="2">
        <v>57512</v>
      </c>
      <c r="AJ4" s="2">
        <v>62739</v>
      </c>
      <c r="AK4" s="2">
        <v>80095</v>
      </c>
      <c r="AL4" s="2">
        <v>93864</v>
      </c>
      <c r="AM4" s="2">
        <v>86613</v>
      </c>
      <c r="AN4" s="2">
        <v>96600</v>
      </c>
      <c r="AO4" s="2">
        <v>112093</v>
      </c>
      <c r="AP4" s="2">
        <v>116914</v>
      </c>
      <c r="AQ4" s="2">
        <v>124556</v>
      </c>
      <c r="AR4" s="2">
        <v>153306</v>
      </c>
      <c r="AS4" s="2">
        <v>169658</v>
      </c>
      <c r="AT4" s="2">
        <v>162560</v>
      </c>
      <c r="AU4" s="2">
        <v>167045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2:59" x14ac:dyDescent="0.25">
      <c r="B5" t="s">
        <v>1</v>
      </c>
      <c r="C5" s="2">
        <v>20363</v>
      </c>
      <c r="D5" s="2">
        <v>13054</v>
      </c>
      <c r="E5" s="2">
        <v>11925</v>
      </c>
      <c r="F5" s="2">
        <f t="shared" ref="F5:F8" si="0">+AP5-C5-D5-E5</f>
        <v>14946</v>
      </c>
      <c r="G5" s="2">
        <v>23273</v>
      </c>
      <c r="H5" s="2">
        <v>14294</v>
      </c>
      <c r="I5" s="2">
        <v>14173</v>
      </c>
      <c r="J5" s="2">
        <f t="shared" ref="J5:J8" si="1">+AQ5-G5-H5-I5</f>
        <v>16900</v>
      </c>
      <c r="K5" s="2">
        <v>27306</v>
      </c>
      <c r="L5" s="2">
        <v>22264</v>
      </c>
      <c r="M5" s="2">
        <v>18943</v>
      </c>
      <c r="N5" s="2">
        <f t="shared" ref="N5:N8" si="2">+AR5-K5-L5-M5</f>
        <v>20794</v>
      </c>
      <c r="O5" s="2">
        <v>29749</v>
      </c>
      <c r="P5" s="2">
        <v>23287</v>
      </c>
      <c r="Q5" s="2">
        <v>19287</v>
      </c>
      <c r="R5" s="2">
        <f t="shared" ref="R5:R8" si="3">+AS5-O5-P5-Q5</f>
        <v>22795</v>
      </c>
      <c r="S5" s="2">
        <v>27681</v>
      </c>
      <c r="T5" s="2">
        <v>23945</v>
      </c>
      <c r="U5" s="2">
        <v>20205</v>
      </c>
      <c r="V5" s="2">
        <f t="shared" ref="V5:V8" si="4">+AT5-S5-T5-U5</f>
        <v>22463</v>
      </c>
      <c r="W5" s="2">
        <v>30397</v>
      </c>
      <c r="X5" s="2">
        <v>24123</v>
      </c>
      <c r="Y5" s="2">
        <v>21884</v>
      </c>
      <c r="Z5" s="2">
        <f t="shared" ref="Z5:Z8" si="5">+AU5-W5-X5-Y5</f>
        <v>24924</v>
      </c>
      <c r="AA5" s="2"/>
      <c r="AB5" s="2"/>
      <c r="AC5" s="2"/>
      <c r="AD5" s="2"/>
      <c r="AG5" s="2">
        <v>18692</v>
      </c>
      <c r="AH5" s="2">
        <v>27778</v>
      </c>
      <c r="AI5" s="2">
        <v>36323</v>
      </c>
      <c r="AJ5" s="2">
        <v>37883</v>
      </c>
      <c r="AK5" s="2">
        <v>44285</v>
      </c>
      <c r="AL5" s="2">
        <v>50337</v>
      </c>
      <c r="AM5" s="2">
        <v>49952</v>
      </c>
      <c r="AN5" s="2">
        <v>54938</v>
      </c>
      <c r="AO5" s="2">
        <v>62420</v>
      </c>
      <c r="AP5" s="2">
        <v>60288</v>
      </c>
      <c r="AQ5" s="2">
        <v>68640</v>
      </c>
      <c r="AR5" s="2">
        <v>89307</v>
      </c>
      <c r="AS5" s="2">
        <v>95118</v>
      </c>
      <c r="AT5" s="2">
        <v>94294</v>
      </c>
      <c r="AU5" s="2">
        <v>101328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2:59" x14ac:dyDescent="0.25">
      <c r="B6" t="s">
        <v>2</v>
      </c>
      <c r="C6" s="2">
        <v>13169</v>
      </c>
      <c r="D6" s="2">
        <v>10218</v>
      </c>
      <c r="E6" s="2">
        <v>9157</v>
      </c>
      <c r="F6" s="2">
        <f t="shared" si="0"/>
        <v>11134</v>
      </c>
      <c r="G6" s="2">
        <v>13578</v>
      </c>
      <c r="H6" s="2">
        <v>9455</v>
      </c>
      <c r="I6" s="2">
        <v>9329</v>
      </c>
      <c r="J6" s="2">
        <f t="shared" si="1"/>
        <v>7946</v>
      </c>
      <c r="K6" s="2">
        <v>21313</v>
      </c>
      <c r="L6" s="2">
        <v>17728</v>
      </c>
      <c r="M6" s="2">
        <v>14762</v>
      </c>
      <c r="N6" s="2">
        <f t="shared" si="2"/>
        <v>14563</v>
      </c>
      <c r="O6" s="2">
        <v>25783</v>
      </c>
      <c r="P6" s="2">
        <v>18343</v>
      </c>
      <c r="Q6" s="2">
        <v>14604</v>
      </c>
      <c r="R6" s="2">
        <f t="shared" si="3"/>
        <v>15470</v>
      </c>
      <c r="S6" s="2">
        <v>23905</v>
      </c>
      <c r="T6" s="2">
        <v>17812</v>
      </c>
      <c r="U6" s="2">
        <v>15758</v>
      </c>
      <c r="V6" s="2">
        <f t="shared" si="4"/>
        <v>15084</v>
      </c>
      <c r="W6" s="2">
        <v>20819</v>
      </c>
      <c r="X6" s="2">
        <v>16372</v>
      </c>
      <c r="Y6" s="2">
        <v>14728</v>
      </c>
      <c r="Z6" s="2">
        <f t="shared" si="5"/>
        <v>15033</v>
      </c>
      <c r="AA6" s="2"/>
      <c r="AB6" s="2"/>
      <c r="AC6" s="2"/>
      <c r="AD6" s="2"/>
      <c r="AH6" s="2">
        <v>12690</v>
      </c>
      <c r="AI6" s="2">
        <v>22533</v>
      </c>
      <c r="AJ6" s="2">
        <v>25417</v>
      </c>
      <c r="AK6" s="2">
        <v>31853</v>
      </c>
      <c r="AL6" s="2">
        <v>58715</v>
      </c>
      <c r="AM6" s="2">
        <v>48492</v>
      </c>
      <c r="AN6" s="2">
        <v>44764</v>
      </c>
      <c r="AO6" s="2">
        <v>51942</v>
      </c>
      <c r="AP6" s="2">
        <v>43678</v>
      </c>
      <c r="AQ6" s="2">
        <v>40308</v>
      </c>
      <c r="AR6" s="2">
        <v>68366</v>
      </c>
      <c r="AS6" s="2">
        <v>74200</v>
      </c>
      <c r="AT6" s="2">
        <v>72559</v>
      </c>
      <c r="AU6" s="2">
        <v>66952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2:59" x14ac:dyDescent="0.25">
      <c r="B7" t="s">
        <v>3</v>
      </c>
      <c r="C7" s="2">
        <v>6910</v>
      </c>
      <c r="D7" s="2">
        <v>5532</v>
      </c>
      <c r="E7" s="2">
        <v>4082</v>
      </c>
      <c r="F7" s="2">
        <f t="shared" si="0"/>
        <v>4982</v>
      </c>
      <c r="G7" s="2">
        <v>6223</v>
      </c>
      <c r="H7" s="2">
        <v>5206</v>
      </c>
      <c r="I7" s="2">
        <v>4966</v>
      </c>
      <c r="J7" s="2">
        <f t="shared" si="1"/>
        <v>5023</v>
      </c>
      <c r="K7" s="2">
        <v>8285</v>
      </c>
      <c r="L7" s="2">
        <v>7742</v>
      </c>
      <c r="M7" s="2">
        <v>6464</v>
      </c>
      <c r="N7" s="2">
        <f t="shared" si="2"/>
        <v>5991</v>
      </c>
      <c r="O7" s="2">
        <v>7107</v>
      </c>
      <c r="P7" s="2">
        <v>7724</v>
      </c>
      <c r="Q7" s="2">
        <v>5446</v>
      </c>
      <c r="R7" s="2">
        <f t="shared" si="3"/>
        <v>5700</v>
      </c>
      <c r="S7" s="2">
        <v>6755</v>
      </c>
      <c r="T7" s="2">
        <v>7176</v>
      </c>
      <c r="U7" s="2">
        <v>4821</v>
      </c>
      <c r="V7" s="2">
        <f t="shared" si="4"/>
        <v>5505</v>
      </c>
      <c r="W7" s="2">
        <v>7767</v>
      </c>
      <c r="X7" s="2">
        <v>6262</v>
      </c>
      <c r="Y7" s="2">
        <v>5097</v>
      </c>
      <c r="Z7" s="2">
        <f t="shared" si="5"/>
        <v>5926</v>
      </c>
      <c r="AA7" s="2"/>
      <c r="AB7" s="2"/>
      <c r="AC7" s="2"/>
      <c r="AD7" s="2"/>
      <c r="AG7" s="2">
        <v>3981</v>
      </c>
      <c r="AH7" s="2">
        <v>5437</v>
      </c>
      <c r="AI7" s="2">
        <v>10571</v>
      </c>
      <c r="AJ7" s="2">
        <v>13462</v>
      </c>
      <c r="AK7" s="2">
        <v>15314</v>
      </c>
      <c r="AL7" s="2">
        <v>15706</v>
      </c>
      <c r="AM7" s="2">
        <v>16928</v>
      </c>
      <c r="AN7" s="2">
        <v>17733</v>
      </c>
      <c r="AO7" s="2">
        <v>21733</v>
      </c>
      <c r="AP7" s="2">
        <v>21506</v>
      </c>
      <c r="AQ7" s="2">
        <v>21418</v>
      </c>
      <c r="AR7" s="2">
        <v>28482</v>
      </c>
      <c r="AS7" s="2">
        <v>25977</v>
      </c>
      <c r="AT7" s="2">
        <v>24257</v>
      </c>
      <c r="AU7" s="2">
        <v>25052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2:59" x14ac:dyDescent="0.25">
      <c r="B8" t="s">
        <v>4</v>
      </c>
      <c r="C8" s="2">
        <v>6928</v>
      </c>
      <c r="D8" s="2">
        <v>3615</v>
      </c>
      <c r="E8" s="2">
        <v>3589</v>
      </c>
      <c r="F8" s="2">
        <f t="shared" si="0"/>
        <v>3656</v>
      </c>
      <c r="G8" s="2">
        <v>7378</v>
      </c>
      <c r="H8" s="2">
        <v>3885</v>
      </c>
      <c r="I8" s="2">
        <v>4199</v>
      </c>
      <c r="J8" s="2">
        <f t="shared" si="1"/>
        <v>4131</v>
      </c>
      <c r="K8" s="2">
        <v>8225</v>
      </c>
      <c r="L8" s="2">
        <v>7544</v>
      </c>
      <c r="M8" s="2">
        <v>5395</v>
      </c>
      <c r="N8" s="2">
        <f t="shared" si="2"/>
        <v>5192</v>
      </c>
      <c r="O8" s="2">
        <v>9810</v>
      </c>
      <c r="P8" s="2">
        <v>7042</v>
      </c>
      <c r="Q8" s="2">
        <v>6150</v>
      </c>
      <c r="R8" s="2">
        <f t="shared" si="3"/>
        <v>6373</v>
      </c>
      <c r="S8" s="2">
        <v>9535</v>
      </c>
      <c r="T8" s="2">
        <v>8119</v>
      </c>
      <c r="U8" s="2">
        <v>5630</v>
      </c>
      <c r="V8" s="2">
        <f t="shared" si="4"/>
        <v>6331</v>
      </c>
      <c r="W8" s="2">
        <v>10162</v>
      </c>
      <c r="X8" s="2">
        <v>6723</v>
      </c>
      <c r="Y8" s="2">
        <v>6390</v>
      </c>
      <c r="Z8" s="2">
        <f t="shared" si="5"/>
        <v>7383</v>
      </c>
      <c r="AA8" s="2"/>
      <c r="AB8" s="2"/>
      <c r="AC8" s="2"/>
      <c r="AD8" s="2"/>
      <c r="AG8" s="2">
        <v>8256</v>
      </c>
      <c r="AH8" s="2">
        <v>9902</v>
      </c>
      <c r="AI8" s="2">
        <v>10741</v>
      </c>
      <c r="AJ8" s="2">
        <v>11181</v>
      </c>
      <c r="AK8" s="2">
        <v>11248</v>
      </c>
      <c r="AL8" s="2">
        <v>15093</v>
      </c>
      <c r="AM8" s="2">
        <v>13654</v>
      </c>
      <c r="AN8" s="2">
        <v>15199</v>
      </c>
      <c r="AO8" s="2">
        <v>17407</v>
      </c>
      <c r="AP8" s="2">
        <v>17788</v>
      </c>
      <c r="AQ8" s="2">
        <v>19593</v>
      </c>
      <c r="AR8" s="2">
        <v>26356</v>
      </c>
      <c r="AS8" s="2">
        <v>29375</v>
      </c>
      <c r="AT8" s="2">
        <v>29615</v>
      </c>
      <c r="AU8" s="2">
        <v>30658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2:59" x14ac:dyDescent="0.25">
      <c r="B9" t="s">
        <v>95</v>
      </c>
      <c r="AA9" s="2"/>
      <c r="AB9" s="2"/>
      <c r="AC9" s="2"/>
      <c r="AD9" s="2"/>
      <c r="AG9" s="2">
        <v>9798</v>
      </c>
      <c r="AH9" s="2">
        <v>14127</v>
      </c>
      <c r="AI9" s="2">
        <v>18828</v>
      </c>
      <c r="AJ9" s="2">
        <v>20228</v>
      </c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2:59" x14ac:dyDescent="0.25">
      <c r="AA10" s="2"/>
      <c r="AB10" s="2"/>
      <c r="AC10" s="2"/>
      <c r="AD10" s="2"/>
      <c r="AG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2:59" x14ac:dyDescent="0.25">
      <c r="B11" t="s">
        <v>5</v>
      </c>
      <c r="C11" s="2">
        <v>51982</v>
      </c>
      <c r="D11" s="2">
        <v>31051</v>
      </c>
      <c r="E11" s="2">
        <v>25986</v>
      </c>
      <c r="F11" s="6">
        <f>+AP11-C11-D11-E11</f>
        <v>33362</v>
      </c>
      <c r="G11" s="15">
        <v>55957</v>
      </c>
      <c r="H11" s="15">
        <v>28962</v>
      </c>
      <c r="I11" s="15">
        <v>26418</v>
      </c>
      <c r="J11" s="15">
        <v>26444</v>
      </c>
      <c r="K11" s="15">
        <v>65597</v>
      </c>
      <c r="L11" s="15">
        <v>47938</v>
      </c>
      <c r="M11" s="15">
        <v>39570</v>
      </c>
      <c r="N11" s="15">
        <v>38868</v>
      </c>
      <c r="O11" s="15">
        <v>71628</v>
      </c>
      <c r="P11" s="15">
        <v>50570</v>
      </c>
      <c r="Q11" s="15">
        <v>40665</v>
      </c>
      <c r="R11" s="15">
        <v>42626</v>
      </c>
      <c r="S11" s="15">
        <v>65775</v>
      </c>
      <c r="T11" s="15">
        <v>51334</v>
      </c>
      <c r="U11" s="2">
        <v>39669</v>
      </c>
      <c r="V11" s="2">
        <f>+AT11-S11-T11-U11</f>
        <v>43805</v>
      </c>
      <c r="W11" s="2">
        <v>69702</v>
      </c>
      <c r="X11" s="2">
        <v>45963</v>
      </c>
      <c r="Y11" s="2">
        <v>39296</v>
      </c>
      <c r="Z11" s="2">
        <f>+AU11-W11-X11-Y11</f>
        <v>46222</v>
      </c>
      <c r="AA11" s="2"/>
      <c r="AB11" s="2"/>
      <c r="AC11" s="2"/>
      <c r="AD11" s="2"/>
      <c r="AE11" s="2"/>
      <c r="AG11" s="2">
        <v>25179</v>
      </c>
      <c r="AH11" s="6">
        <v>45998</v>
      </c>
      <c r="AI11" s="6">
        <v>78692</v>
      </c>
      <c r="AJ11" s="6">
        <v>91279</v>
      </c>
      <c r="AK11" s="6">
        <v>101991</v>
      </c>
      <c r="AL11" s="6">
        <v>155041</v>
      </c>
      <c r="AM11" s="6">
        <v>136700</v>
      </c>
      <c r="AN11" s="6">
        <v>141319</v>
      </c>
      <c r="AO11" s="6">
        <v>164888</v>
      </c>
      <c r="AP11" s="6">
        <v>142381</v>
      </c>
      <c r="AQ11" s="6">
        <v>137781</v>
      </c>
      <c r="AR11" s="6">
        <v>191973</v>
      </c>
      <c r="AS11" s="2">
        <v>205489</v>
      </c>
      <c r="AT11" s="2">
        <v>200583</v>
      </c>
      <c r="AU11" s="2">
        <v>201183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2:59" x14ac:dyDescent="0.25">
      <c r="B12" s="7" t="s">
        <v>6</v>
      </c>
      <c r="G12" s="15">
        <v>73800</v>
      </c>
      <c r="H12" s="15">
        <v>36700</v>
      </c>
      <c r="I12" s="15">
        <v>37600</v>
      </c>
      <c r="J12" s="15">
        <v>41700</v>
      </c>
      <c r="K12" s="15">
        <v>90100</v>
      </c>
      <c r="L12" s="15">
        <v>55200</v>
      </c>
      <c r="M12" s="15">
        <v>44200</v>
      </c>
      <c r="N12" s="15">
        <v>50400</v>
      </c>
      <c r="O12" s="15">
        <v>84100</v>
      </c>
      <c r="P12" s="15">
        <v>56500</v>
      </c>
      <c r="Q12" s="15">
        <f>+Q11/Q13*1000</f>
        <v>43260.117693779554</v>
      </c>
      <c r="R12" s="15"/>
      <c r="S12" s="15"/>
      <c r="T12" s="15"/>
      <c r="AA12" s="2"/>
      <c r="AB12" s="2"/>
      <c r="AC12" s="2"/>
      <c r="AD12" s="2"/>
      <c r="AG12" s="2">
        <v>39989</v>
      </c>
      <c r="AH12" s="6">
        <v>72293</v>
      </c>
      <c r="AI12" s="6">
        <v>125046</v>
      </c>
      <c r="AJ12" s="6">
        <v>150257</v>
      </c>
      <c r="AK12" s="6">
        <v>169219</v>
      </c>
      <c r="AL12" s="6">
        <v>231218</v>
      </c>
      <c r="AM12" s="6">
        <v>211884</v>
      </c>
      <c r="AN12" s="6">
        <v>216756</v>
      </c>
      <c r="AO12" s="6">
        <v>217722</v>
      </c>
      <c r="AP12" s="6">
        <v>185200</v>
      </c>
      <c r="AQ12" s="6">
        <v>189800</v>
      </c>
      <c r="AR12" s="6">
        <v>239900</v>
      </c>
      <c r="AS12" s="2">
        <v>225300</v>
      </c>
      <c r="AT12" s="2">
        <v>231800</v>
      </c>
      <c r="AU12" s="2">
        <f>50100+45200+56000+50433</f>
        <v>201733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2:59" x14ac:dyDescent="0.25">
      <c r="B13" s="7" t="s">
        <v>90</v>
      </c>
      <c r="G13" s="15">
        <f t="shared" ref="G13:P13" si="6">+G11*1000/G12</f>
        <v>758.22493224932248</v>
      </c>
      <c r="H13" s="15">
        <f t="shared" si="6"/>
        <v>789.15531335149865</v>
      </c>
      <c r="I13" s="15">
        <f t="shared" si="6"/>
        <v>702.60638297872345</v>
      </c>
      <c r="J13" s="15">
        <f t="shared" si="6"/>
        <v>634.14868105515586</v>
      </c>
      <c r="K13" s="15">
        <f t="shared" si="6"/>
        <v>728.04661487236399</v>
      </c>
      <c r="L13" s="15">
        <f t="shared" si="6"/>
        <v>868.44202898550725</v>
      </c>
      <c r="M13" s="15">
        <f t="shared" si="6"/>
        <v>895.24886877828055</v>
      </c>
      <c r="N13" s="15">
        <f t="shared" si="6"/>
        <v>771.19047619047615</v>
      </c>
      <c r="O13" s="15">
        <f t="shared" si="6"/>
        <v>851.70035671819267</v>
      </c>
      <c r="P13" s="15">
        <f t="shared" si="6"/>
        <v>895.04424778761063</v>
      </c>
      <c r="Q13" s="16">
        <f>+M13*1.05</f>
        <v>940.01131221719459</v>
      </c>
      <c r="R13" s="16"/>
      <c r="S13" s="15"/>
      <c r="T13" s="15"/>
      <c r="AA13" s="2"/>
      <c r="AB13" s="2"/>
      <c r="AC13" s="2"/>
      <c r="AD13" s="2"/>
      <c r="AG13" s="8">
        <f>+AG11*1000/AG12</f>
        <v>629.64815324214157</v>
      </c>
      <c r="AH13" s="8">
        <f t="shared" ref="AH13:AT13" si="7">+AH11*1000/AH12</f>
        <v>636.27183821393498</v>
      </c>
      <c r="AI13" s="8">
        <f t="shared" si="7"/>
        <v>629.3044159749212</v>
      </c>
      <c r="AJ13" s="8">
        <f t="shared" si="7"/>
        <v>607.48584092588032</v>
      </c>
      <c r="AK13" s="8">
        <f t="shared" si="7"/>
        <v>602.71600706776428</v>
      </c>
      <c r="AL13" s="8">
        <f t="shared" si="7"/>
        <v>670.54035585464794</v>
      </c>
      <c r="AM13" s="8">
        <f t="shared" si="7"/>
        <v>645.16433520228054</v>
      </c>
      <c r="AN13" s="8">
        <f t="shared" si="7"/>
        <v>651.97272509180834</v>
      </c>
      <c r="AO13" s="8">
        <f t="shared" si="7"/>
        <v>757.33274542765548</v>
      </c>
      <c r="AP13" s="8">
        <f t="shared" si="7"/>
        <v>768.79589632829379</v>
      </c>
      <c r="AQ13" s="8">
        <f t="shared" si="7"/>
        <v>725.92729188619603</v>
      </c>
      <c r="AR13" s="8">
        <f t="shared" si="7"/>
        <v>800.22092538557729</v>
      </c>
      <c r="AS13" s="8">
        <f t="shared" si="7"/>
        <v>912.06835330670219</v>
      </c>
      <c r="AT13" s="8">
        <f t="shared" si="7"/>
        <v>865.32786885245901</v>
      </c>
      <c r="AU13" s="8">
        <f>+AU11*1000/AU12</f>
        <v>997.27362404762732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2:59" x14ac:dyDescent="0.25"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AA14" s="2"/>
      <c r="AB14" s="2"/>
      <c r="AC14" s="2"/>
      <c r="AD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2:59" x14ac:dyDescent="0.25">
      <c r="B15" t="s">
        <v>7</v>
      </c>
      <c r="C15" s="2">
        <v>7416</v>
      </c>
      <c r="D15" s="2">
        <v>5513</v>
      </c>
      <c r="E15" s="2">
        <v>5820</v>
      </c>
      <c r="F15" s="6">
        <f>+AP15-C15-D15-E15</f>
        <v>6991</v>
      </c>
      <c r="G15" s="15">
        <v>7160</v>
      </c>
      <c r="H15" s="15">
        <v>5351</v>
      </c>
      <c r="I15" s="15">
        <v>7079</v>
      </c>
      <c r="J15" s="15">
        <v>9032</v>
      </c>
      <c r="K15" s="15">
        <v>8675</v>
      </c>
      <c r="L15" s="15">
        <v>9102</v>
      </c>
      <c r="M15" s="15">
        <v>8235</v>
      </c>
      <c r="N15" s="15">
        <v>9178</v>
      </c>
      <c r="O15" s="15">
        <v>10852</v>
      </c>
      <c r="P15" s="15">
        <v>10435</v>
      </c>
      <c r="Q15" s="15">
        <v>7382</v>
      </c>
      <c r="R15" s="15">
        <v>11508</v>
      </c>
      <c r="S15" s="15">
        <v>7735</v>
      </c>
      <c r="T15" s="15">
        <v>7168</v>
      </c>
      <c r="U15" s="2">
        <v>6840</v>
      </c>
      <c r="V15" s="2">
        <f>+AT15-S15-T15-U15</f>
        <v>7614</v>
      </c>
      <c r="W15" s="2">
        <v>7780</v>
      </c>
      <c r="X15" s="2">
        <v>7451</v>
      </c>
      <c r="Y15" s="2">
        <v>7009</v>
      </c>
      <c r="Z15" s="2">
        <f>+AU15-W15-X15-Y15</f>
        <v>7744</v>
      </c>
      <c r="AA15" s="2"/>
      <c r="AB15" s="2"/>
      <c r="AC15" s="2"/>
      <c r="AD15" s="2"/>
      <c r="AE15" s="2"/>
      <c r="AF15" s="2"/>
      <c r="AG15" s="2">
        <v>17479</v>
      </c>
      <c r="AH15">
        <v>21783</v>
      </c>
      <c r="AI15">
        <v>23221</v>
      </c>
      <c r="AJ15">
        <v>21483</v>
      </c>
      <c r="AK15">
        <v>24079</v>
      </c>
      <c r="AL15">
        <v>25471</v>
      </c>
      <c r="AM15">
        <v>22831</v>
      </c>
      <c r="AN15">
        <v>25850</v>
      </c>
      <c r="AO15">
        <v>25198</v>
      </c>
      <c r="AP15">
        <v>25740</v>
      </c>
      <c r="AQ15">
        <v>28622</v>
      </c>
      <c r="AR15">
        <v>35190</v>
      </c>
      <c r="AS15" s="2">
        <v>40177</v>
      </c>
      <c r="AT15" s="2">
        <v>29357</v>
      </c>
      <c r="AU15" s="2">
        <v>29984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2:59" x14ac:dyDescent="0.25">
      <c r="B16" t="s">
        <v>8</v>
      </c>
      <c r="C16" s="2">
        <v>6729</v>
      </c>
      <c r="D16" s="2">
        <v>4872</v>
      </c>
      <c r="E16" s="2">
        <v>5023</v>
      </c>
      <c r="F16" s="6">
        <f>+AP16-C16-D16-E16</f>
        <v>4656</v>
      </c>
      <c r="G16" s="15">
        <v>5977</v>
      </c>
      <c r="H16" s="15">
        <v>4368</v>
      </c>
      <c r="I16" s="15">
        <v>6582</v>
      </c>
      <c r="J16" s="15">
        <v>6797</v>
      </c>
      <c r="K16" s="15">
        <v>8435</v>
      </c>
      <c r="L16" s="15">
        <v>7807</v>
      </c>
      <c r="M16" s="15">
        <v>7368</v>
      </c>
      <c r="N16" s="15">
        <v>8252</v>
      </c>
      <c r="O16" s="15">
        <v>7248</v>
      </c>
      <c r="P16" s="15">
        <v>7646</v>
      </c>
      <c r="Q16" s="15">
        <v>7224</v>
      </c>
      <c r="R16" s="15">
        <v>7174</v>
      </c>
      <c r="S16" s="15">
        <v>9396</v>
      </c>
      <c r="T16" s="15">
        <v>6670</v>
      </c>
      <c r="U16" s="2">
        <v>5791</v>
      </c>
      <c r="V16" s="2">
        <f>+AT16-S16-T16-U16</f>
        <v>6443</v>
      </c>
      <c r="W16" s="2">
        <v>7023</v>
      </c>
      <c r="X16" s="2">
        <v>5559</v>
      </c>
      <c r="Y16" s="2">
        <v>7162</v>
      </c>
      <c r="Z16" s="2">
        <f>+AU16-W16-X16-Y16</f>
        <v>6950</v>
      </c>
      <c r="AA16" s="2"/>
      <c r="AB16" s="2"/>
      <c r="AC16" s="2"/>
      <c r="AD16" s="2"/>
      <c r="AE16" s="2"/>
      <c r="AG16" s="2">
        <v>4958</v>
      </c>
      <c r="AH16">
        <v>19168</v>
      </c>
      <c r="AI16">
        <v>30945</v>
      </c>
      <c r="AJ16">
        <v>31980</v>
      </c>
      <c r="AK16">
        <v>30283</v>
      </c>
      <c r="AL16">
        <v>23227</v>
      </c>
      <c r="AM16">
        <v>20628</v>
      </c>
      <c r="AN16">
        <v>19222</v>
      </c>
      <c r="AO16">
        <v>18380</v>
      </c>
      <c r="AP16">
        <v>21280</v>
      </c>
      <c r="AQ16">
        <v>23724</v>
      </c>
      <c r="AR16">
        <v>31862</v>
      </c>
      <c r="AS16" s="2">
        <v>29292</v>
      </c>
      <c r="AT16" s="2">
        <v>28300</v>
      </c>
      <c r="AU16" s="2">
        <v>26694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2:59" x14ac:dyDescent="0.25">
      <c r="B17" t="s">
        <v>9</v>
      </c>
      <c r="C17" s="2">
        <v>7308</v>
      </c>
      <c r="D17" s="2">
        <v>5129</v>
      </c>
      <c r="E17" s="2">
        <v>5525</v>
      </c>
      <c r="F17" s="6">
        <f>+AP17-C17-D17-E17</f>
        <v>6520</v>
      </c>
      <c r="G17" s="15">
        <v>10010</v>
      </c>
      <c r="H17" s="15">
        <v>6284</v>
      </c>
      <c r="I17" s="15">
        <v>6450</v>
      </c>
      <c r="J17" s="15">
        <v>7876</v>
      </c>
      <c r="K17" s="15">
        <v>12971</v>
      </c>
      <c r="L17" s="15">
        <v>7836</v>
      </c>
      <c r="M17" s="15">
        <v>8775</v>
      </c>
      <c r="N17" s="15">
        <v>8785</v>
      </c>
      <c r="O17" s="15">
        <v>14701</v>
      </c>
      <c r="P17" s="15">
        <v>8806</v>
      </c>
      <c r="Q17" s="15">
        <v>8084</v>
      </c>
      <c r="R17" s="15">
        <v>9650</v>
      </c>
      <c r="S17" s="15">
        <v>13482</v>
      </c>
      <c r="T17" s="15">
        <v>8757</v>
      </c>
      <c r="U17" s="2">
        <v>8284</v>
      </c>
      <c r="V17" s="2">
        <f>+AT17-S17-T17-U17</f>
        <v>9322</v>
      </c>
      <c r="W17" s="2">
        <v>11953</v>
      </c>
      <c r="X17" s="2">
        <v>7913</v>
      </c>
      <c r="Y17" s="2">
        <v>8097</v>
      </c>
      <c r="Z17" s="2">
        <f>+AU17-W17-X17-Y17</f>
        <v>9042</v>
      </c>
      <c r="AA17" s="2"/>
      <c r="AB17" s="2"/>
      <c r="AC17" s="2"/>
      <c r="AD17" s="2"/>
      <c r="AE17" s="2"/>
      <c r="AG17" s="6">
        <f>1814+8274</f>
        <v>10088</v>
      </c>
      <c r="AH17">
        <v>11927</v>
      </c>
      <c r="AI17">
        <v>10760</v>
      </c>
      <c r="AJ17">
        <v>10117</v>
      </c>
      <c r="AK17">
        <v>8379</v>
      </c>
      <c r="AL17">
        <v>10067</v>
      </c>
      <c r="AM17">
        <v>11132</v>
      </c>
      <c r="AN17">
        <v>12863</v>
      </c>
      <c r="AO17">
        <v>17381</v>
      </c>
      <c r="AP17">
        <v>24482</v>
      </c>
      <c r="AQ17">
        <v>30620</v>
      </c>
      <c r="AR17">
        <v>38367</v>
      </c>
      <c r="AS17" s="2">
        <v>41241</v>
      </c>
      <c r="AT17" s="2">
        <v>39845</v>
      </c>
      <c r="AU17" s="2">
        <v>37005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2:59" x14ac:dyDescent="0.25">
      <c r="AA18" s="2"/>
      <c r="AB18" s="2"/>
      <c r="AC18" s="2"/>
      <c r="AD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2:59" x14ac:dyDescent="0.25">
      <c r="B19" t="s">
        <v>10</v>
      </c>
      <c r="C19" s="2">
        <v>73435</v>
      </c>
      <c r="D19" s="2">
        <v>46565</v>
      </c>
      <c r="E19" s="2">
        <v>42354</v>
      </c>
      <c r="F19" s="2">
        <f>212883-C19-D19-E19</f>
        <v>50529</v>
      </c>
      <c r="G19" s="2">
        <v>79104</v>
      </c>
      <c r="H19" s="2">
        <v>44965</v>
      </c>
      <c r="I19" s="2">
        <v>46529</v>
      </c>
      <c r="J19" s="2">
        <f>220747-G19-H19-I19</f>
        <v>50149</v>
      </c>
      <c r="K19" s="2">
        <v>95678</v>
      </c>
      <c r="L19" s="2">
        <v>72683</v>
      </c>
      <c r="M19" s="2">
        <v>63948</v>
      </c>
      <c r="N19" s="2">
        <f>297392-K19-L19-M19</f>
        <v>65083</v>
      </c>
      <c r="O19" s="2">
        <v>104429</v>
      </c>
      <c r="P19" s="2">
        <v>77457</v>
      </c>
      <c r="Q19" s="2">
        <v>63355</v>
      </c>
      <c r="R19" s="2">
        <f>316199-O19-P19-Q19</f>
        <v>70958</v>
      </c>
      <c r="S19" s="2">
        <v>96388</v>
      </c>
      <c r="T19" s="2">
        <v>73929</v>
      </c>
      <c r="U19" s="2">
        <v>60584</v>
      </c>
      <c r="V19" s="2">
        <f>298085-S19-T19-U19</f>
        <v>67184</v>
      </c>
      <c r="W19" s="2">
        <v>96458</v>
      </c>
      <c r="X19" s="2">
        <v>66886</v>
      </c>
      <c r="Y19" s="2">
        <v>61564</v>
      </c>
      <c r="Z19" s="2">
        <f>294866-W19-X19-Y19</f>
        <v>69958</v>
      </c>
      <c r="AA19" s="2">
        <f>SUM(AA11:AA17)</f>
        <v>0</v>
      </c>
      <c r="AB19" s="2">
        <f t="shared" ref="AB19:AD19" si="8">SUM(AB11:AB17)</f>
        <v>0</v>
      </c>
      <c r="AC19" s="2">
        <f t="shared" si="8"/>
        <v>0</v>
      </c>
      <c r="AD19" s="2">
        <f t="shared" si="8"/>
        <v>0</v>
      </c>
      <c r="AG19">
        <v>57704</v>
      </c>
      <c r="AH19">
        <v>98876</v>
      </c>
      <c r="AI19">
        <v>143618</v>
      </c>
      <c r="AJ19">
        <v>154859</v>
      </c>
      <c r="AK19">
        <v>164732</v>
      </c>
      <c r="AL19">
        <v>213806</v>
      </c>
      <c r="AM19">
        <v>191291</v>
      </c>
      <c r="AN19">
        <v>199254</v>
      </c>
      <c r="AO19">
        <v>225847</v>
      </c>
      <c r="AP19">
        <v>213883</v>
      </c>
      <c r="AQ19">
        <v>220747</v>
      </c>
      <c r="AR19">
        <v>297392</v>
      </c>
      <c r="AS19" s="2">
        <f>+AS11+AS15+AS16+AS17</f>
        <v>316199</v>
      </c>
      <c r="AT19" s="2">
        <f t="shared" ref="AT19:AU19" si="9">+AT11+AT15+AT16+AT17</f>
        <v>298085</v>
      </c>
      <c r="AU19" s="2">
        <f t="shared" si="9"/>
        <v>294866</v>
      </c>
      <c r="AV19" s="2">
        <f>+AV11+AV15+AV16+AV17</f>
        <v>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2:59" x14ac:dyDescent="0.25">
      <c r="B20" t="s">
        <v>11</v>
      </c>
      <c r="C20" s="2">
        <v>10875</v>
      </c>
      <c r="D20" s="2">
        <v>11450</v>
      </c>
      <c r="E20" s="2">
        <v>11455</v>
      </c>
      <c r="F20" s="2">
        <f>46291-C20-D20-E20</f>
        <v>12511</v>
      </c>
      <c r="G20" s="2">
        <v>12715</v>
      </c>
      <c r="H20" s="2">
        <v>13348</v>
      </c>
      <c r="I20" s="2">
        <v>13156</v>
      </c>
      <c r="J20" s="2">
        <f>53768-G20-H20-I20</f>
        <v>14549</v>
      </c>
      <c r="K20" s="2">
        <v>15761</v>
      </c>
      <c r="L20" s="2">
        <v>16901</v>
      </c>
      <c r="M20" s="2">
        <v>17486</v>
      </c>
      <c r="N20" s="2">
        <f>68425-K20-L20-M20</f>
        <v>18277</v>
      </c>
      <c r="O20" s="2">
        <v>19516</v>
      </c>
      <c r="P20" s="2">
        <v>19821</v>
      </c>
      <c r="Q20" s="2">
        <v>19604</v>
      </c>
      <c r="R20" s="2">
        <f>78129-O20-P20-Q20</f>
        <v>19188</v>
      </c>
      <c r="S20" s="2">
        <v>20766</v>
      </c>
      <c r="T20" s="2">
        <v>20907</v>
      </c>
      <c r="U20" s="2">
        <v>21213</v>
      </c>
      <c r="V20" s="2">
        <f>85200-S20-T20-U20</f>
        <v>22314</v>
      </c>
      <c r="W20" s="2">
        <v>23117</v>
      </c>
      <c r="X20" s="2">
        <v>23867</v>
      </c>
      <c r="Y20" s="2">
        <v>24213</v>
      </c>
      <c r="Z20" s="2">
        <f>96169-W20-X20-Y20</f>
        <v>24972</v>
      </c>
      <c r="AA20" s="2"/>
      <c r="AB20" s="2"/>
      <c r="AC20" s="2"/>
      <c r="AD20" s="2"/>
      <c r="AG20">
        <v>7521</v>
      </c>
      <c r="AH20">
        <v>9373</v>
      </c>
      <c r="AI20">
        <v>12890</v>
      </c>
      <c r="AJ20">
        <v>16051</v>
      </c>
      <c r="AK20">
        <v>18063</v>
      </c>
      <c r="AL20">
        <v>19909</v>
      </c>
      <c r="AM20">
        <v>24348</v>
      </c>
      <c r="AN20">
        <v>29980</v>
      </c>
      <c r="AO20">
        <v>39748</v>
      </c>
      <c r="AP20">
        <v>46291</v>
      </c>
      <c r="AQ20">
        <v>53768</v>
      </c>
      <c r="AR20">
        <v>68425</v>
      </c>
      <c r="AS20" s="2">
        <v>78129</v>
      </c>
      <c r="AT20" s="2">
        <v>85200</v>
      </c>
      <c r="AU20" s="2">
        <v>96169</v>
      </c>
      <c r="AV20" s="2">
        <f>SUM(AA20:AD20)</f>
        <v>0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2:59" x14ac:dyDescent="0.25">
      <c r="B21" s="1" t="s">
        <v>12</v>
      </c>
      <c r="C21" s="3">
        <f>+C19+C20</f>
        <v>84310</v>
      </c>
      <c r="D21" s="3">
        <f t="shared" ref="D21:AD21" si="10">+D19+D20</f>
        <v>58015</v>
      </c>
      <c r="E21" s="3">
        <f t="shared" si="10"/>
        <v>53809</v>
      </c>
      <c r="F21" s="3">
        <f t="shared" si="10"/>
        <v>63040</v>
      </c>
      <c r="G21" s="3">
        <f t="shared" si="10"/>
        <v>91819</v>
      </c>
      <c r="H21" s="3">
        <f t="shared" si="10"/>
        <v>58313</v>
      </c>
      <c r="I21" s="3">
        <f t="shared" si="10"/>
        <v>59685</v>
      </c>
      <c r="J21" s="3">
        <f>+J19+J20</f>
        <v>64698</v>
      </c>
      <c r="K21" s="3">
        <f t="shared" si="10"/>
        <v>111439</v>
      </c>
      <c r="L21" s="3">
        <f t="shared" si="10"/>
        <v>89584</v>
      </c>
      <c r="M21" s="3">
        <f t="shared" si="10"/>
        <v>81434</v>
      </c>
      <c r="N21" s="3">
        <f t="shared" si="10"/>
        <v>83360</v>
      </c>
      <c r="O21" s="3">
        <f t="shared" si="10"/>
        <v>123945</v>
      </c>
      <c r="P21" s="3">
        <f t="shared" si="10"/>
        <v>97278</v>
      </c>
      <c r="Q21" s="3">
        <f t="shared" si="10"/>
        <v>82959</v>
      </c>
      <c r="R21" s="3">
        <f t="shared" si="10"/>
        <v>90146</v>
      </c>
      <c r="S21" s="3">
        <f t="shared" si="10"/>
        <v>117154</v>
      </c>
      <c r="T21" s="3">
        <f t="shared" si="10"/>
        <v>94836</v>
      </c>
      <c r="U21" s="3">
        <f t="shared" si="10"/>
        <v>81797</v>
      </c>
      <c r="V21" s="3">
        <f t="shared" si="10"/>
        <v>89498</v>
      </c>
      <c r="W21" s="3">
        <f t="shared" si="10"/>
        <v>119575</v>
      </c>
      <c r="X21" s="3">
        <f t="shared" si="10"/>
        <v>90753</v>
      </c>
      <c r="Y21" s="3">
        <f t="shared" si="10"/>
        <v>85777</v>
      </c>
      <c r="Z21" s="3">
        <f t="shared" si="10"/>
        <v>94930</v>
      </c>
      <c r="AA21" s="3">
        <f t="shared" si="10"/>
        <v>0</v>
      </c>
      <c r="AB21" s="3">
        <f t="shared" si="10"/>
        <v>0</v>
      </c>
      <c r="AC21" s="3">
        <f t="shared" si="10"/>
        <v>0</v>
      </c>
      <c r="AD21" s="3">
        <f t="shared" si="10"/>
        <v>0</v>
      </c>
      <c r="AE21" s="2"/>
      <c r="AG21" s="3">
        <f t="shared" ref="AG21:BF21" si="11">+AG19+AG20</f>
        <v>65225</v>
      </c>
      <c r="AH21" s="3">
        <f t="shared" si="11"/>
        <v>108249</v>
      </c>
      <c r="AI21" s="3">
        <f t="shared" si="11"/>
        <v>156508</v>
      </c>
      <c r="AJ21" s="3">
        <f t="shared" si="11"/>
        <v>170910</v>
      </c>
      <c r="AK21" s="3">
        <f t="shared" si="11"/>
        <v>182795</v>
      </c>
      <c r="AL21" s="3">
        <f t="shared" si="11"/>
        <v>233715</v>
      </c>
      <c r="AM21" s="3">
        <f t="shared" si="11"/>
        <v>215639</v>
      </c>
      <c r="AN21" s="3">
        <f t="shared" si="11"/>
        <v>229234</v>
      </c>
      <c r="AO21" s="3">
        <f t="shared" si="11"/>
        <v>265595</v>
      </c>
      <c r="AP21" s="3">
        <f t="shared" si="11"/>
        <v>260174</v>
      </c>
      <c r="AQ21" s="3">
        <f t="shared" si="11"/>
        <v>274515</v>
      </c>
      <c r="AR21" s="3">
        <f t="shared" si="11"/>
        <v>365817</v>
      </c>
      <c r="AS21" s="3">
        <f t="shared" si="11"/>
        <v>394328</v>
      </c>
      <c r="AT21" s="3">
        <f t="shared" si="11"/>
        <v>383285</v>
      </c>
      <c r="AU21" s="3">
        <f t="shared" si="11"/>
        <v>391035</v>
      </c>
      <c r="AV21" s="3">
        <f t="shared" si="11"/>
        <v>0</v>
      </c>
      <c r="AW21" s="3">
        <f t="shared" si="11"/>
        <v>0</v>
      </c>
      <c r="AX21" s="3">
        <f t="shared" si="11"/>
        <v>0</v>
      </c>
      <c r="AY21" s="3">
        <f t="shared" si="11"/>
        <v>0</v>
      </c>
      <c r="AZ21" s="3">
        <f t="shared" si="11"/>
        <v>0</v>
      </c>
      <c r="BA21" s="3">
        <f t="shared" si="11"/>
        <v>0</v>
      </c>
      <c r="BB21" s="3">
        <f t="shared" si="11"/>
        <v>0</v>
      </c>
      <c r="BC21" s="3">
        <f t="shared" si="11"/>
        <v>0</v>
      </c>
      <c r="BD21" s="3">
        <f t="shared" si="11"/>
        <v>0</v>
      </c>
      <c r="BE21" s="3">
        <f t="shared" si="11"/>
        <v>0</v>
      </c>
      <c r="BF21" s="3">
        <f t="shared" si="11"/>
        <v>0</v>
      </c>
      <c r="BG21" s="2"/>
    </row>
    <row r="22" spans="2:59" x14ac:dyDescent="0.25">
      <c r="B22" t="s">
        <v>88</v>
      </c>
      <c r="C22" s="2">
        <v>48238</v>
      </c>
      <c r="D22" s="2">
        <v>32047</v>
      </c>
      <c r="E22" s="2">
        <v>29473</v>
      </c>
      <c r="F22" s="2">
        <f>AP22-C22-D22-E22</f>
        <v>35238</v>
      </c>
      <c r="G22" s="2">
        <v>52075</v>
      </c>
      <c r="H22" s="2">
        <v>31321</v>
      </c>
      <c r="I22" s="2">
        <v>32693</v>
      </c>
      <c r="J22" s="2">
        <v>35197</v>
      </c>
      <c r="K22" s="2">
        <v>62130</v>
      </c>
      <c r="L22" s="2">
        <v>46447</v>
      </c>
      <c r="M22" s="2">
        <v>40899</v>
      </c>
      <c r="N22" s="2">
        <v>42790</v>
      </c>
      <c r="O22" s="2">
        <v>64309</v>
      </c>
      <c r="P22" s="2">
        <v>49290</v>
      </c>
      <c r="Q22" s="2">
        <v>41485</v>
      </c>
      <c r="R22" s="2">
        <v>46387</v>
      </c>
      <c r="S22" s="2">
        <v>60765</v>
      </c>
      <c r="T22" s="2">
        <v>46795</v>
      </c>
      <c r="U22" s="2">
        <v>39136</v>
      </c>
      <c r="V22" s="2">
        <f>AT22-S22-T22-U22</f>
        <v>42586</v>
      </c>
      <c r="W22" s="2">
        <v>58440</v>
      </c>
      <c r="X22" s="2">
        <v>42424</v>
      </c>
      <c r="Y22" s="2">
        <v>39803</v>
      </c>
      <c r="Z22" s="2">
        <f>AU22-W22-X22-Y22</f>
        <v>44566</v>
      </c>
      <c r="AA22" s="2"/>
      <c r="AB22" s="2"/>
      <c r="AC22" s="2"/>
      <c r="AD22" s="2"/>
      <c r="AO22" s="2">
        <v>148164</v>
      </c>
      <c r="AP22" s="2">
        <v>144996</v>
      </c>
      <c r="AQ22" s="2">
        <v>151286</v>
      </c>
      <c r="AR22" s="2">
        <v>192266</v>
      </c>
      <c r="AS22" s="2">
        <v>201471</v>
      </c>
      <c r="AT22" s="2">
        <v>189282</v>
      </c>
      <c r="AU22" s="2">
        <v>185233</v>
      </c>
      <c r="AV22" s="2">
        <f>+AV19*0.64</f>
        <v>0</v>
      </c>
      <c r="AW22" s="2">
        <f t="shared" ref="AW22:BF22" si="12">+AW19*0.64</f>
        <v>0</v>
      </c>
      <c r="AX22" s="2">
        <f t="shared" si="12"/>
        <v>0</v>
      </c>
      <c r="AY22" s="2">
        <f t="shared" si="12"/>
        <v>0</v>
      </c>
      <c r="AZ22" s="2">
        <f t="shared" si="12"/>
        <v>0</v>
      </c>
      <c r="BA22" s="2">
        <f t="shared" si="12"/>
        <v>0</v>
      </c>
      <c r="BB22" s="2">
        <f t="shared" si="12"/>
        <v>0</v>
      </c>
      <c r="BC22" s="2">
        <f t="shared" si="12"/>
        <v>0</v>
      </c>
      <c r="BD22" s="2">
        <f t="shared" si="12"/>
        <v>0</v>
      </c>
      <c r="BE22" s="2">
        <f t="shared" si="12"/>
        <v>0</v>
      </c>
      <c r="BF22" s="2">
        <f t="shared" si="12"/>
        <v>0</v>
      </c>
      <c r="BG22" s="2"/>
    </row>
    <row r="23" spans="2:59" x14ac:dyDescent="0.25">
      <c r="B23" t="s">
        <v>89</v>
      </c>
      <c r="C23" s="2">
        <v>4041</v>
      </c>
      <c r="D23" s="2">
        <v>4147</v>
      </c>
      <c r="E23" s="2">
        <v>4109</v>
      </c>
      <c r="F23" s="2">
        <f>AP23-C23-D23-E23</f>
        <v>4489</v>
      </c>
      <c r="G23" s="2">
        <v>4527</v>
      </c>
      <c r="H23" s="2">
        <v>4622</v>
      </c>
      <c r="I23" s="2">
        <v>4312</v>
      </c>
      <c r="J23" s="2">
        <v>4812</v>
      </c>
      <c r="K23" s="2">
        <v>4981</v>
      </c>
      <c r="L23" s="2">
        <v>5058</v>
      </c>
      <c r="M23" s="2">
        <v>5280</v>
      </c>
      <c r="N23" s="2">
        <v>5396</v>
      </c>
      <c r="O23" s="2">
        <v>5393</v>
      </c>
      <c r="P23" s="2">
        <v>5429</v>
      </c>
      <c r="Q23" s="2">
        <v>5589</v>
      </c>
      <c r="R23" s="2">
        <v>5664</v>
      </c>
      <c r="S23" s="2">
        <v>6057</v>
      </c>
      <c r="T23" s="2">
        <v>6065</v>
      </c>
      <c r="U23" s="2">
        <v>6248</v>
      </c>
      <c r="V23" s="2">
        <f>AT23-S23-T23-U23</f>
        <v>6485</v>
      </c>
      <c r="W23" s="2">
        <v>6280</v>
      </c>
      <c r="X23" s="2">
        <v>6058</v>
      </c>
      <c r="Y23" s="2">
        <v>6296</v>
      </c>
      <c r="Z23" s="2">
        <f>AU23-W23-X23-Y23</f>
        <v>6485</v>
      </c>
      <c r="AA23" s="2"/>
      <c r="AB23" s="2"/>
      <c r="AC23" s="2"/>
      <c r="AD23" s="2"/>
      <c r="AO23" s="2">
        <v>15592</v>
      </c>
      <c r="AP23" s="2">
        <v>16786</v>
      </c>
      <c r="AQ23" s="2">
        <v>18273</v>
      </c>
      <c r="AR23" s="2">
        <v>20715</v>
      </c>
      <c r="AS23" s="2">
        <v>22075</v>
      </c>
      <c r="AT23" s="2">
        <v>24855</v>
      </c>
      <c r="AU23" s="2">
        <v>25119</v>
      </c>
      <c r="AV23" s="2">
        <f>+AV20*0.27</f>
        <v>0</v>
      </c>
      <c r="AW23" s="2">
        <f t="shared" ref="AW23:BF23" si="13">+AW20*0.27</f>
        <v>0</v>
      </c>
      <c r="AX23" s="2">
        <f t="shared" si="13"/>
        <v>0</v>
      </c>
      <c r="AY23" s="2">
        <f t="shared" si="13"/>
        <v>0</v>
      </c>
      <c r="AZ23" s="2">
        <f t="shared" si="13"/>
        <v>0</v>
      </c>
      <c r="BA23" s="2">
        <f t="shared" si="13"/>
        <v>0</v>
      </c>
      <c r="BB23" s="2">
        <f t="shared" si="13"/>
        <v>0</v>
      </c>
      <c r="BC23" s="2">
        <f t="shared" si="13"/>
        <v>0</v>
      </c>
      <c r="BD23" s="2">
        <f t="shared" si="13"/>
        <v>0</v>
      </c>
      <c r="BE23" s="2">
        <f t="shared" si="13"/>
        <v>0</v>
      </c>
      <c r="BF23" s="2">
        <f t="shared" si="13"/>
        <v>0</v>
      </c>
      <c r="BG23" s="2"/>
    </row>
    <row r="24" spans="2:59" x14ac:dyDescent="0.25">
      <c r="B24" t="s">
        <v>13</v>
      </c>
      <c r="C24" s="2">
        <f>+C22+C23</f>
        <v>52279</v>
      </c>
      <c r="D24" s="2">
        <f t="shared" ref="D24:Z24" si="14">+D22+D23</f>
        <v>36194</v>
      </c>
      <c r="E24" s="2">
        <f t="shared" si="14"/>
        <v>33582</v>
      </c>
      <c r="F24" s="2">
        <f t="shared" si="14"/>
        <v>39727</v>
      </c>
      <c r="G24" s="2">
        <f t="shared" si="14"/>
        <v>56602</v>
      </c>
      <c r="H24" s="2">
        <f t="shared" si="14"/>
        <v>35943</v>
      </c>
      <c r="I24" s="2">
        <f t="shared" si="14"/>
        <v>37005</v>
      </c>
      <c r="J24" s="2">
        <f t="shared" si="14"/>
        <v>40009</v>
      </c>
      <c r="K24" s="2">
        <f t="shared" si="14"/>
        <v>67111</v>
      </c>
      <c r="L24" s="2">
        <f t="shared" si="14"/>
        <v>51505</v>
      </c>
      <c r="M24" s="2">
        <f t="shared" si="14"/>
        <v>46179</v>
      </c>
      <c r="N24" s="2">
        <f t="shared" si="14"/>
        <v>48186</v>
      </c>
      <c r="O24" s="2">
        <f t="shared" si="14"/>
        <v>69702</v>
      </c>
      <c r="P24" s="2">
        <f t="shared" si="14"/>
        <v>54719</v>
      </c>
      <c r="Q24" s="2">
        <f t="shared" si="14"/>
        <v>47074</v>
      </c>
      <c r="R24" s="2">
        <f t="shared" si="14"/>
        <v>52051</v>
      </c>
      <c r="S24" s="2">
        <f t="shared" si="14"/>
        <v>66822</v>
      </c>
      <c r="T24" s="2">
        <f t="shared" si="14"/>
        <v>52860</v>
      </c>
      <c r="U24" s="2">
        <f t="shared" si="14"/>
        <v>45384</v>
      </c>
      <c r="V24" s="2">
        <f t="shared" si="14"/>
        <v>49071</v>
      </c>
      <c r="W24" s="2">
        <f t="shared" si="14"/>
        <v>64720</v>
      </c>
      <c r="X24" s="2">
        <f t="shared" si="14"/>
        <v>48482</v>
      </c>
      <c r="Y24" s="2">
        <f t="shared" si="14"/>
        <v>46099</v>
      </c>
      <c r="Z24" s="2">
        <f t="shared" si="14"/>
        <v>51051</v>
      </c>
      <c r="AA24" s="2"/>
      <c r="AB24" s="2"/>
      <c r="AC24" s="2"/>
      <c r="AD24" s="2"/>
      <c r="AG24" s="2">
        <v>39541</v>
      </c>
      <c r="AH24" s="2">
        <v>64431</v>
      </c>
      <c r="AI24" s="2">
        <v>87846</v>
      </c>
      <c r="AJ24" s="2">
        <v>106606</v>
      </c>
      <c r="AK24" s="2">
        <v>112258</v>
      </c>
      <c r="AL24" s="2">
        <v>140089</v>
      </c>
      <c r="AM24" s="2">
        <v>131376</v>
      </c>
      <c r="AN24" s="2">
        <v>141048</v>
      </c>
      <c r="AO24" s="2">
        <f>+AO22+AO23</f>
        <v>163756</v>
      </c>
      <c r="AP24" s="2">
        <f t="shared" ref="AP24:BF24" si="15">+AP22+AP23</f>
        <v>161782</v>
      </c>
      <c r="AQ24" s="2">
        <f t="shared" si="15"/>
        <v>169559</v>
      </c>
      <c r="AR24" s="2">
        <f t="shared" si="15"/>
        <v>212981</v>
      </c>
      <c r="AS24" s="2">
        <f t="shared" si="15"/>
        <v>223546</v>
      </c>
      <c r="AT24" s="2">
        <f t="shared" si="15"/>
        <v>214137</v>
      </c>
      <c r="AU24" s="2">
        <f t="shared" si="15"/>
        <v>210352</v>
      </c>
      <c r="AV24" s="2">
        <f t="shared" si="15"/>
        <v>0</v>
      </c>
      <c r="AW24" s="2">
        <f t="shared" si="15"/>
        <v>0</v>
      </c>
      <c r="AX24" s="2">
        <f t="shared" si="15"/>
        <v>0</v>
      </c>
      <c r="AY24" s="2">
        <f t="shared" si="15"/>
        <v>0</v>
      </c>
      <c r="AZ24" s="2">
        <f t="shared" si="15"/>
        <v>0</v>
      </c>
      <c r="BA24" s="2">
        <f t="shared" si="15"/>
        <v>0</v>
      </c>
      <c r="BB24" s="2">
        <f t="shared" si="15"/>
        <v>0</v>
      </c>
      <c r="BC24" s="2">
        <f t="shared" si="15"/>
        <v>0</v>
      </c>
      <c r="BD24" s="2">
        <f t="shared" si="15"/>
        <v>0</v>
      </c>
      <c r="BE24" s="2">
        <f t="shared" si="15"/>
        <v>0</v>
      </c>
      <c r="BF24" s="2">
        <f t="shared" si="15"/>
        <v>0</v>
      </c>
      <c r="BG24" s="2"/>
    </row>
    <row r="25" spans="2:59" x14ac:dyDescent="0.25">
      <c r="B25" t="s">
        <v>14</v>
      </c>
      <c r="C25" s="2">
        <f>+C21-C24</f>
        <v>32031</v>
      </c>
      <c r="D25" s="2">
        <f t="shared" ref="D25:AD25" si="16">+D21-D24</f>
        <v>21821</v>
      </c>
      <c r="E25" s="2">
        <f t="shared" si="16"/>
        <v>20227</v>
      </c>
      <c r="F25" s="2">
        <f t="shared" si="16"/>
        <v>23313</v>
      </c>
      <c r="G25" s="2">
        <f t="shared" si="16"/>
        <v>35217</v>
      </c>
      <c r="H25" s="2">
        <f t="shared" si="16"/>
        <v>22370</v>
      </c>
      <c r="I25" s="2">
        <f t="shared" si="16"/>
        <v>22680</v>
      </c>
      <c r="J25" s="2">
        <f t="shared" si="16"/>
        <v>24689</v>
      </c>
      <c r="K25" s="2">
        <f t="shared" si="16"/>
        <v>44328</v>
      </c>
      <c r="L25" s="2">
        <f t="shared" si="16"/>
        <v>38079</v>
      </c>
      <c r="M25" s="2">
        <f t="shared" si="16"/>
        <v>35255</v>
      </c>
      <c r="N25" s="2">
        <f t="shared" si="16"/>
        <v>35174</v>
      </c>
      <c r="O25" s="2">
        <f t="shared" si="16"/>
        <v>54243</v>
      </c>
      <c r="P25" s="2">
        <f t="shared" si="16"/>
        <v>42559</v>
      </c>
      <c r="Q25" s="2">
        <f t="shared" si="16"/>
        <v>35885</v>
      </c>
      <c r="R25" s="2">
        <f t="shared" si="16"/>
        <v>38095</v>
      </c>
      <c r="S25" s="2">
        <f t="shared" si="16"/>
        <v>50332</v>
      </c>
      <c r="T25" s="2">
        <f t="shared" si="16"/>
        <v>41976</v>
      </c>
      <c r="U25" s="2">
        <f t="shared" si="16"/>
        <v>36413</v>
      </c>
      <c r="V25" s="2">
        <f t="shared" si="16"/>
        <v>40427</v>
      </c>
      <c r="W25" s="2">
        <f t="shared" si="16"/>
        <v>54855</v>
      </c>
      <c r="X25" s="2">
        <f t="shared" si="16"/>
        <v>42271</v>
      </c>
      <c r="Y25" s="2">
        <f t="shared" si="16"/>
        <v>39678</v>
      </c>
      <c r="Z25" s="2">
        <f t="shared" si="16"/>
        <v>43879</v>
      </c>
      <c r="AA25" s="2">
        <f t="shared" si="16"/>
        <v>0</v>
      </c>
      <c r="AB25" s="2">
        <f t="shared" si="16"/>
        <v>0</v>
      </c>
      <c r="AC25" s="2">
        <f t="shared" si="16"/>
        <v>0</v>
      </c>
      <c r="AD25" s="2">
        <f t="shared" si="16"/>
        <v>0</v>
      </c>
      <c r="AG25" s="2">
        <f>+AG21-AG24</f>
        <v>25684</v>
      </c>
      <c r="AH25" s="2">
        <f t="shared" ref="AH25:BF25" si="17">+AH21-AH24</f>
        <v>43818</v>
      </c>
      <c r="AI25" s="2">
        <f t="shared" si="17"/>
        <v>68662</v>
      </c>
      <c r="AJ25" s="2">
        <f t="shared" si="17"/>
        <v>64304</v>
      </c>
      <c r="AK25" s="2">
        <f t="shared" si="17"/>
        <v>70537</v>
      </c>
      <c r="AL25" s="2">
        <f t="shared" si="17"/>
        <v>93626</v>
      </c>
      <c r="AM25" s="2">
        <f t="shared" si="17"/>
        <v>84263</v>
      </c>
      <c r="AN25" s="2">
        <f t="shared" si="17"/>
        <v>88186</v>
      </c>
      <c r="AO25" s="2">
        <f t="shared" si="17"/>
        <v>101839</v>
      </c>
      <c r="AP25" s="2">
        <f t="shared" si="17"/>
        <v>98392</v>
      </c>
      <c r="AQ25" s="2">
        <f t="shared" si="17"/>
        <v>104956</v>
      </c>
      <c r="AR25" s="2">
        <f t="shared" si="17"/>
        <v>152836</v>
      </c>
      <c r="AS25" s="2">
        <f t="shared" si="17"/>
        <v>170782</v>
      </c>
      <c r="AT25" s="2">
        <f t="shared" si="17"/>
        <v>169148</v>
      </c>
      <c r="AU25" s="2">
        <f t="shared" si="17"/>
        <v>180683</v>
      </c>
      <c r="AV25" s="2">
        <f t="shared" si="17"/>
        <v>0</v>
      </c>
      <c r="AW25" s="2">
        <f t="shared" si="17"/>
        <v>0</v>
      </c>
      <c r="AX25" s="2">
        <f t="shared" si="17"/>
        <v>0</v>
      </c>
      <c r="AY25" s="2">
        <f t="shared" si="17"/>
        <v>0</v>
      </c>
      <c r="AZ25" s="2">
        <f t="shared" si="17"/>
        <v>0</v>
      </c>
      <c r="BA25" s="2">
        <f t="shared" si="17"/>
        <v>0</v>
      </c>
      <c r="BB25" s="2">
        <f t="shared" si="17"/>
        <v>0</v>
      </c>
      <c r="BC25" s="2">
        <f t="shared" si="17"/>
        <v>0</v>
      </c>
      <c r="BD25" s="2">
        <f t="shared" si="17"/>
        <v>0</v>
      </c>
      <c r="BE25" s="2">
        <f t="shared" si="17"/>
        <v>0</v>
      </c>
      <c r="BF25" s="2">
        <f t="shared" si="17"/>
        <v>0</v>
      </c>
      <c r="BG25" s="2"/>
    </row>
    <row r="26" spans="2:59" x14ac:dyDescent="0.25">
      <c r="B26" t="s">
        <v>15</v>
      </c>
      <c r="G26" s="2">
        <v>4451</v>
      </c>
      <c r="H26" s="2">
        <v>4565</v>
      </c>
      <c r="I26" s="2">
        <v>4758</v>
      </c>
      <c r="J26" s="2">
        <v>4978</v>
      </c>
      <c r="K26" s="2">
        <v>5163</v>
      </c>
      <c r="L26" s="2">
        <v>5262</v>
      </c>
      <c r="M26" s="2">
        <v>5717</v>
      </c>
      <c r="N26" s="2">
        <v>5772</v>
      </c>
      <c r="O26" s="2">
        <v>6306</v>
      </c>
      <c r="P26" s="2">
        <v>6387</v>
      </c>
      <c r="Q26" s="2">
        <v>6797</v>
      </c>
      <c r="R26" s="2">
        <v>6761</v>
      </c>
      <c r="S26" s="2">
        <v>7709</v>
      </c>
      <c r="T26" s="2">
        <v>7457</v>
      </c>
      <c r="U26" s="2">
        <v>7442</v>
      </c>
      <c r="V26" s="2">
        <f>+AT26-S26-T26-U26</f>
        <v>7307</v>
      </c>
      <c r="W26" s="2">
        <v>7696</v>
      </c>
      <c r="X26" s="2">
        <v>7903</v>
      </c>
      <c r="Y26" s="2">
        <v>8006</v>
      </c>
      <c r="Z26" s="2">
        <f>+AU26-W26-X26-Y26</f>
        <v>7765</v>
      </c>
      <c r="AA26" s="2"/>
      <c r="AB26" s="2"/>
      <c r="AC26" s="2"/>
      <c r="AD26" s="2"/>
      <c r="AG26" s="2">
        <v>1782</v>
      </c>
      <c r="AH26" s="2">
        <v>2429</v>
      </c>
      <c r="AI26" s="2">
        <v>3381</v>
      </c>
      <c r="AJ26" s="2">
        <v>4475</v>
      </c>
      <c r="AK26" s="2">
        <v>6041</v>
      </c>
      <c r="AL26" s="2">
        <v>8067</v>
      </c>
      <c r="AM26" s="2">
        <v>10045</v>
      </c>
      <c r="AN26" s="2">
        <v>11581</v>
      </c>
      <c r="AO26" s="2">
        <v>14236</v>
      </c>
      <c r="AP26" s="2">
        <v>16217</v>
      </c>
      <c r="AQ26" s="2">
        <v>18752</v>
      </c>
      <c r="AR26" s="2">
        <v>21914</v>
      </c>
      <c r="AS26" s="2">
        <v>26251</v>
      </c>
      <c r="AT26" s="2">
        <v>29915</v>
      </c>
      <c r="AU26" s="2">
        <v>31370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2:59" x14ac:dyDescent="0.25">
      <c r="B27" t="s">
        <v>16</v>
      </c>
      <c r="G27" s="2">
        <v>5197</v>
      </c>
      <c r="H27" s="2">
        <v>4952</v>
      </c>
      <c r="I27" s="2">
        <v>4831</v>
      </c>
      <c r="J27" s="2">
        <v>4936</v>
      </c>
      <c r="K27" s="2">
        <v>5631</v>
      </c>
      <c r="L27" s="2">
        <v>5314</v>
      </c>
      <c r="M27" s="2">
        <v>5412</v>
      </c>
      <c r="N27" s="2">
        <v>5616</v>
      </c>
      <c r="O27" s="2">
        <v>6449</v>
      </c>
      <c r="P27" s="2">
        <v>6193</v>
      </c>
      <c r="Q27" s="2">
        <v>6012</v>
      </c>
      <c r="R27" s="2">
        <v>6440</v>
      </c>
      <c r="S27" s="2">
        <v>6607</v>
      </c>
      <c r="T27" s="2">
        <v>6201</v>
      </c>
      <c r="U27" s="2">
        <v>5973</v>
      </c>
      <c r="V27" s="2">
        <f>+AT27-S27-T27-U27</f>
        <v>6151</v>
      </c>
      <c r="W27" s="2">
        <v>6786</v>
      </c>
      <c r="X27" s="2">
        <v>6468</v>
      </c>
      <c r="Y27" s="2">
        <v>6320</v>
      </c>
      <c r="Z27" s="2">
        <f>+AU27-W27-X27-Y27</f>
        <v>6523</v>
      </c>
      <c r="AA27" s="2"/>
      <c r="AB27" s="2"/>
      <c r="AC27" s="2"/>
      <c r="AD27" s="2"/>
      <c r="AG27" s="2">
        <v>5517</v>
      </c>
      <c r="AH27" s="2">
        <v>7599</v>
      </c>
      <c r="AI27" s="2">
        <v>10040</v>
      </c>
      <c r="AJ27" s="2">
        <v>10830</v>
      </c>
      <c r="AK27" s="2">
        <v>11993</v>
      </c>
      <c r="AL27" s="2">
        <v>14329</v>
      </c>
      <c r="AM27" s="2">
        <v>14194</v>
      </c>
      <c r="AN27" s="2">
        <v>15261</v>
      </c>
      <c r="AO27" s="2">
        <v>16705</v>
      </c>
      <c r="AP27" s="2">
        <v>18245</v>
      </c>
      <c r="AQ27" s="2">
        <v>19916</v>
      </c>
      <c r="AR27" s="2">
        <v>21973</v>
      </c>
      <c r="AS27" s="2">
        <v>25094</v>
      </c>
      <c r="AT27" s="2">
        <v>24932</v>
      </c>
      <c r="AU27" s="2">
        <v>26097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2:59" x14ac:dyDescent="0.25">
      <c r="B28" t="s">
        <v>17</v>
      </c>
      <c r="C28">
        <f>+C26+C27</f>
        <v>0</v>
      </c>
      <c r="D28">
        <f t="shared" ref="D28:AB28" si="18">+D26+D27</f>
        <v>0</v>
      </c>
      <c r="E28">
        <f t="shared" si="18"/>
        <v>0</v>
      </c>
      <c r="F28">
        <f t="shared" si="18"/>
        <v>0</v>
      </c>
      <c r="G28">
        <f t="shared" si="18"/>
        <v>9648</v>
      </c>
      <c r="H28">
        <f t="shared" si="18"/>
        <v>9517</v>
      </c>
      <c r="I28">
        <f t="shared" si="18"/>
        <v>9589</v>
      </c>
      <c r="J28">
        <f t="shared" si="18"/>
        <v>9914</v>
      </c>
      <c r="K28">
        <f t="shared" si="18"/>
        <v>10794</v>
      </c>
      <c r="L28">
        <f t="shared" si="18"/>
        <v>10576</v>
      </c>
      <c r="M28">
        <f t="shared" si="18"/>
        <v>11129</v>
      </c>
      <c r="N28">
        <f t="shared" si="18"/>
        <v>11388</v>
      </c>
      <c r="O28">
        <f t="shared" si="18"/>
        <v>12755</v>
      </c>
      <c r="P28">
        <f t="shared" si="18"/>
        <v>12580</v>
      </c>
      <c r="Q28">
        <f t="shared" si="18"/>
        <v>12809</v>
      </c>
      <c r="R28">
        <f t="shared" si="18"/>
        <v>13201</v>
      </c>
      <c r="S28">
        <f t="shared" si="18"/>
        <v>14316</v>
      </c>
      <c r="T28">
        <f t="shared" si="18"/>
        <v>13658</v>
      </c>
      <c r="U28">
        <f t="shared" si="18"/>
        <v>13415</v>
      </c>
      <c r="V28">
        <f t="shared" si="18"/>
        <v>13458</v>
      </c>
      <c r="W28">
        <f t="shared" si="18"/>
        <v>14482</v>
      </c>
      <c r="X28">
        <f t="shared" si="18"/>
        <v>14371</v>
      </c>
      <c r="Y28">
        <f t="shared" si="18"/>
        <v>14326</v>
      </c>
      <c r="Z28">
        <f t="shared" si="18"/>
        <v>14288</v>
      </c>
      <c r="AA28" s="2">
        <f t="shared" si="18"/>
        <v>0</v>
      </c>
      <c r="AB28" s="2">
        <f t="shared" si="18"/>
        <v>0</v>
      </c>
      <c r="AC28" s="2">
        <f t="shared" ref="AC28:AD28" si="19">+AC26+AC27</f>
        <v>0</v>
      </c>
      <c r="AD28" s="2">
        <f t="shared" si="19"/>
        <v>0</v>
      </c>
      <c r="AG28" s="6">
        <f>+AG26+AG27</f>
        <v>7299</v>
      </c>
      <c r="AH28" s="6">
        <f t="shared" ref="AH28:AU28" si="20">+AH26+AH27</f>
        <v>10028</v>
      </c>
      <c r="AI28" s="6">
        <f t="shared" si="20"/>
        <v>13421</v>
      </c>
      <c r="AJ28" s="6">
        <f t="shared" si="20"/>
        <v>15305</v>
      </c>
      <c r="AK28" s="6">
        <f t="shared" si="20"/>
        <v>18034</v>
      </c>
      <c r="AL28" s="6">
        <f t="shared" si="20"/>
        <v>22396</v>
      </c>
      <c r="AM28" s="6">
        <f t="shared" si="20"/>
        <v>24239</v>
      </c>
      <c r="AN28" s="6">
        <f t="shared" si="20"/>
        <v>26842</v>
      </c>
      <c r="AO28" s="6">
        <f t="shared" si="20"/>
        <v>30941</v>
      </c>
      <c r="AP28" s="6">
        <f t="shared" si="20"/>
        <v>34462</v>
      </c>
      <c r="AQ28" s="6">
        <f t="shared" si="20"/>
        <v>38668</v>
      </c>
      <c r="AR28" s="6">
        <f t="shared" si="20"/>
        <v>43887</v>
      </c>
      <c r="AS28" s="6">
        <f t="shared" si="20"/>
        <v>51345</v>
      </c>
      <c r="AT28" s="6">
        <f t="shared" si="20"/>
        <v>54847</v>
      </c>
      <c r="AU28" s="6">
        <f>+AU26+AU27</f>
        <v>57467</v>
      </c>
      <c r="AV28" s="6">
        <f t="shared" ref="AV28:BF28" si="21">+AV26+AV27</f>
        <v>0</v>
      </c>
      <c r="AW28" s="6">
        <f t="shared" si="21"/>
        <v>0</v>
      </c>
      <c r="AX28" s="6">
        <f t="shared" si="21"/>
        <v>0</v>
      </c>
      <c r="AY28" s="6">
        <f t="shared" si="21"/>
        <v>0</v>
      </c>
      <c r="AZ28" s="6">
        <f t="shared" si="21"/>
        <v>0</v>
      </c>
      <c r="BA28" s="6">
        <f t="shared" si="21"/>
        <v>0</v>
      </c>
      <c r="BB28" s="6">
        <f t="shared" si="21"/>
        <v>0</v>
      </c>
      <c r="BC28" s="6">
        <f t="shared" si="21"/>
        <v>0</v>
      </c>
      <c r="BD28" s="6">
        <f t="shared" si="21"/>
        <v>0</v>
      </c>
      <c r="BE28" s="6">
        <f t="shared" si="21"/>
        <v>0</v>
      </c>
      <c r="BF28" s="6">
        <f t="shared" si="21"/>
        <v>0</v>
      </c>
      <c r="BG28" s="2"/>
    </row>
    <row r="29" spans="2:59" x14ac:dyDescent="0.25">
      <c r="B29" t="s">
        <v>92</v>
      </c>
      <c r="C29" s="2">
        <f>+C25-C28</f>
        <v>32031</v>
      </c>
      <c r="D29" s="2">
        <f t="shared" ref="D29:AB29" si="22">+D25-D28</f>
        <v>21821</v>
      </c>
      <c r="E29" s="2">
        <f t="shared" si="22"/>
        <v>20227</v>
      </c>
      <c r="F29" s="2">
        <f t="shared" si="22"/>
        <v>23313</v>
      </c>
      <c r="G29" s="2">
        <f t="shared" si="22"/>
        <v>25569</v>
      </c>
      <c r="H29" s="2">
        <f t="shared" si="22"/>
        <v>12853</v>
      </c>
      <c r="I29" s="2">
        <f t="shared" si="22"/>
        <v>13091</v>
      </c>
      <c r="J29" s="2">
        <f t="shared" si="22"/>
        <v>14775</v>
      </c>
      <c r="K29" s="2">
        <f t="shared" si="22"/>
        <v>33534</v>
      </c>
      <c r="L29" s="2">
        <f t="shared" si="22"/>
        <v>27503</v>
      </c>
      <c r="M29" s="2">
        <f t="shared" si="22"/>
        <v>24126</v>
      </c>
      <c r="N29" s="2">
        <f t="shared" si="22"/>
        <v>23786</v>
      </c>
      <c r="O29" s="2">
        <f t="shared" si="22"/>
        <v>41488</v>
      </c>
      <c r="P29" s="2">
        <f t="shared" si="22"/>
        <v>29979</v>
      </c>
      <c r="Q29" s="2">
        <f t="shared" si="22"/>
        <v>23076</v>
      </c>
      <c r="R29" s="2">
        <f t="shared" si="22"/>
        <v>24894</v>
      </c>
      <c r="S29" s="2">
        <f t="shared" si="22"/>
        <v>36016</v>
      </c>
      <c r="T29" s="2">
        <f t="shared" si="22"/>
        <v>28318</v>
      </c>
      <c r="U29" s="2">
        <f t="shared" si="22"/>
        <v>22998</v>
      </c>
      <c r="V29" s="2">
        <f t="shared" si="22"/>
        <v>26969</v>
      </c>
      <c r="W29" s="2">
        <f t="shared" si="22"/>
        <v>40373</v>
      </c>
      <c r="X29" s="2">
        <f t="shared" si="22"/>
        <v>27900</v>
      </c>
      <c r="Y29" s="2">
        <f t="shared" si="22"/>
        <v>25352</v>
      </c>
      <c r="Z29" s="2">
        <f t="shared" si="22"/>
        <v>29591</v>
      </c>
      <c r="AA29" s="2">
        <f t="shared" si="22"/>
        <v>0</v>
      </c>
      <c r="AB29" s="2">
        <f t="shared" si="22"/>
        <v>0</v>
      </c>
      <c r="AC29" s="2">
        <f t="shared" ref="AC29:AD29" si="23">+AC25-AC28</f>
        <v>0</v>
      </c>
      <c r="AD29" s="2">
        <f t="shared" si="23"/>
        <v>0</v>
      </c>
      <c r="AG29" s="6">
        <f t="shared" ref="AG29:AU29" si="24">+AG25-AG28</f>
        <v>18385</v>
      </c>
      <c r="AH29" s="6">
        <f t="shared" si="24"/>
        <v>33790</v>
      </c>
      <c r="AI29" s="6">
        <f t="shared" si="24"/>
        <v>55241</v>
      </c>
      <c r="AJ29" s="6">
        <f t="shared" si="24"/>
        <v>48999</v>
      </c>
      <c r="AK29" s="6">
        <f t="shared" si="24"/>
        <v>52503</v>
      </c>
      <c r="AL29" s="6">
        <f t="shared" si="24"/>
        <v>71230</v>
      </c>
      <c r="AM29" s="6">
        <f t="shared" si="24"/>
        <v>60024</v>
      </c>
      <c r="AN29" s="6">
        <f t="shared" si="24"/>
        <v>61344</v>
      </c>
      <c r="AO29" s="6">
        <f t="shared" si="24"/>
        <v>70898</v>
      </c>
      <c r="AP29" s="6">
        <f t="shared" si="24"/>
        <v>63930</v>
      </c>
      <c r="AQ29" s="6">
        <f t="shared" si="24"/>
        <v>66288</v>
      </c>
      <c r="AR29" s="6">
        <f t="shared" si="24"/>
        <v>108949</v>
      </c>
      <c r="AS29" s="6">
        <f t="shared" si="24"/>
        <v>119437</v>
      </c>
      <c r="AT29" s="6">
        <f t="shared" si="24"/>
        <v>114301</v>
      </c>
      <c r="AU29" s="6">
        <f>+AU25-AU28</f>
        <v>123216</v>
      </c>
      <c r="AV29" s="6">
        <f t="shared" ref="AV29:BF29" si="25">+AV25-AV28</f>
        <v>0</v>
      </c>
      <c r="AW29" s="6">
        <f t="shared" si="25"/>
        <v>0</v>
      </c>
      <c r="AX29" s="6">
        <f t="shared" si="25"/>
        <v>0</v>
      </c>
      <c r="AY29" s="6">
        <f t="shared" si="25"/>
        <v>0</v>
      </c>
      <c r="AZ29" s="6">
        <f t="shared" si="25"/>
        <v>0</v>
      </c>
      <c r="BA29" s="6">
        <f t="shared" si="25"/>
        <v>0</v>
      </c>
      <c r="BB29" s="6">
        <f t="shared" si="25"/>
        <v>0</v>
      </c>
      <c r="BC29" s="6">
        <f t="shared" si="25"/>
        <v>0</v>
      </c>
      <c r="BD29" s="6">
        <f t="shared" si="25"/>
        <v>0</v>
      </c>
      <c r="BE29" s="6">
        <f t="shared" si="25"/>
        <v>0</v>
      </c>
      <c r="BF29" s="6">
        <f t="shared" si="25"/>
        <v>0</v>
      </c>
      <c r="BG29" s="2"/>
    </row>
    <row r="30" spans="2:59" x14ac:dyDescent="0.25">
      <c r="B30" t="s">
        <v>18</v>
      </c>
      <c r="G30" s="2">
        <v>349</v>
      </c>
      <c r="H30" s="2">
        <v>282</v>
      </c>
      <c r="I30" s="2">
        <v>46</v>
      </c>
      <c r="J30" s="2">
        <v>126</v>
      </c>
      <c r="K30" s="2">
        <v>45</v>
      </c>
      <c r="L30" s="2">
        <v>508</v>
      </c>
      <c r="M30" s="2">
        <v>243</v>
      </c>
      <c r="N30" s="2">
        <v>-538</v>
      </c>
      <c r="O30" s="2">
        <v>-247</v>
      </c>
      <c r="P30" s="2">
        <v>160</v>
      </c>
      <c r="Q30" s="2">
        <v>-10</v>
      </c>
      <c r="R30" s="2">
        <v>-237</v>
      </c>
      <c r="S30" s="2">
        <v>-393</v>
      </c>
      <c r="T30" s="2">
        <v>64</v>
      </c>
      <c r="U30" s="2">
        <v>-265</v>
      </c>
      <c r="V30" s="2">
        <f>+AT30-S30-T30-U30</f>
        <v>29</v>
      </c>
      <c r="W30" s="2">
        <v>-50</v>
      </c>
      <c r="X30" s="2">
        <v>158</v>
      </c>
      <c r="Y30" s="2">
        <v>142</v>
      </c>
      <c r="Z30" s="2">
        <f>+AU30-W30-X30-Y30</f>
        <v>19</v>
      </c>
      <c r="AA30" s="2"/>
      <c r="AB30" s="2"/>
      <c r="AC30" s="2"/>
      <c r="AD30" s="2"/>
      <c r="AG30" s="2">
        <v>155</v>
      </c>
      <c r="AH30" s="2">
        <v>415</v>
      </c>
      <c r="AI30" s="2">
        <v>522</v>
      </c>
      <c r="AJ30" s="2">
        <v>1156</v>
      </c>
      <c r="AK30" s="2">
        <v>980</v>
      </c>
      <c r="AL30" s="2">
        <v>1285</v>
      </c>
      <c r="AM30" s="2">
        <v>1348</v>
      </c>
      <c r="AN30" s="2">
        <v>2745</v>
      </c>
      <c r="AO30" s="2">
        <v>2005</v>
      </c>
      <c r="AP30" s="2">
        <v>1807</v>
      </c>
      <c r="AQ30" s="2">
        <v>803</v>
      </c>
      <c r="AR30" s="2">
        <v>258</v>
      </c>
      <c r="AS30" s="2">
        <v>-334</v>
      </c>
      <c r="AT30" s="2">
        <v>-565</v>
      </c>
      <c r="AU30" s="2">
        <v>269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2:59" x14ac:dyDescent="0.25">
      <c r="B31" t="s">
        <v>19</v>
      </c>
      <c r="C31" s="2">
        <f>+C29+C30</f>
        <v>32031</v>
      </c>
      <c r="D31" s="2">
        <f t="shared" ref="D31:AD31" si="26">+D29+D30</f>
        <v>21821</v>
      </c>
      <c r="E31" s="2">
        <f t="shared" si="26"/>
        <v>20227</v>
      </c>
      <c r="F31" s="2">
        <f t="shared" si="26"/>
        <v>23313</v>
      </c>
      <c r="G31" s="2">
        <f t="shared" si="26"/>
        <v>25918</v>
      </c>
      <c r="H31" s="2">
        <f t="shared" si="26"/>
        <v>13135</v>
      </c>
      <c r="I31" s="2">
        <f t="shared" si="26"/>
        <v>13137</v>
      </c>
      <c r="J31" s="2">
        <f t="shared" si="26"/>
        <v>14901</v>
      </c>
      <c r="K31" s="2">
        <f t="shared" si="26"/>
        <v>33579</v>
      </c>
      <c r="L31" s="2">
        <f t="shared" si="26"/>
        <v>28011</v>
      </c>
      <c r="M31" s="2">
        <f t="shared" si="26"/>
        <v>24369</v>
      </c>
      <c r="N31" s="2">
        <f t="shared" si="26"/>
        <v>23248</v>
      </c>
      <c r="O31" s="2">
        <f t="shared" si="26"/>
        <v>41241</v>
      </c>
      <c r="P31" s="2">
        <f t="shared" si="26"/>
        <v>30139</v>
      </c>
      <c r="Q31" s="2">
        <f t="shared" si="26"/>
        <v>23066</v>
      </c>
      <c r="R31" s="2">
        <f t="shared" si="26"/>
        <v>24657</v>
      </c>
      <c r="S31" s="2">
        <f t="shared" si="26"/>
        <v>35623</v>
      </c>
      <c r="T31" s="2">
        <f t="shared" si="26"/>
        <v>28382</v>
      </c>
      <c r="U31" s="2">
        <f t="shared" si="26"/>
        <v>22733</v>
      </c>
      <c r="V31" s="2">
        <f t="shared" si="26"/>
        <v>26998</v>
      </c>
      <c r="W31" s="2">
        <f t="shared" si="26"/>
        <v>40323</v>
      </c>
      <c r="X31" s="2">
        <f t="shared" si="26"/>
        <v>28058</v>
      </c>
      <c r="Y31" s="2">
        <f t="shared" si="26"/>
        <v>25494</v>
      </c>
      <c r="Z31" s="2">
        <f t="shared" si="26"/>
        <v>29610</v>
      </c>
      <c r="AA31" s="2">
        <f t="shared" si="26"/>
        <v>0</v>
      </c>
      <c r="AB31" s="2">
        <f t="shared" si="26"/>
        <v>0</v>
      </c>
      <c r="AC31" s="2">
        <f t="shared" si="26"/>
        <v>0</v>
      </c>
      <c r="AD31" s="2">
        <f t="shared" si="26"/>
        <v>0</v>
      </c>
      <c r="AG31" s="2">
        <f t="shared" ref="AG31:BF31" si="27">+AG29+AG30</f>
        <v>18540</v>
      </c>
      <c r="AH31" s="2">
        <f t="shared" si="27"/>
        <v>34205</v>
      </c>
      <c r="AI31" s="2">
        <f t="shared" si="27"/>
        <v>55763</v>
      </c>
      <c r="AJ31" s="2">
        <f t="shared" si="27"/>
        <v>50155</v>
      </c>
      <c r="AK31" s="2">
        <f t="shared" si="27"/>
        <v>53483</v>
      </c>
      <c r="AL31" s="2">
        <f t="shared" si="27"/>
        <v>72515</v>
      </c>
      <c r="AM31" s="2">
        <f t="shared" si="27"/>
        <v>61372</v>
      </c>
      <c r="AN31" s="2">
        <f t="shared" si="27"/>
        <v>64089</v>
      </c>
      <c r="AO31" s="2">
        <f t="shared" si="27"/>
        <v>72903</v>
      </c>
      <c r="AP31" s="2">
        <f t="shared" si="27"/>
        <v>65737</v>
      </c>
      <c r="AQ31" s="2">
        <f t="shared" si="27"/>
        <v>67091</v>
      </c>
      <c r="AR31" s="2">
        <f t="shared" si="27"/>
        <v>109207</v>
      </c>
      <c r="AS31" s="2">
        <f t="shared" si="27"/>
        <v>119103</v>
      </c>
      <c r="AT31" s="2">
        <f t="shared" si="27"/>
        <v>113736</v>
      </c>
      <c r="AU31" s="2">
        <f t="shared" si="27"/>
        <v>123485</v>
      </c>
      <c r="AV31" s="2">
        <f t="shared" si="27"/>
        <v>0</v>
      </c>
      <c r="AW31" s="2">
        <f t="shared" si="27"/>
        <v>0</v>
      </c>
      <c r="AX31" s="2">
        <f t="shared" si="27"/>
        <v>0</v>
      </c>
      <c r="AY31" s="2">
        <f t="shared" si="27"/>
        <v>0</v>
      </c>
      <c r="AZ31" s="2">
        <f t="shared" si="27"/>
        <v>0</v>
      </c>
      <c r="BA31" s="2">
        <f t="shared" si="27"/>
        <v>0</v>
      </c>
      <c r="BB31" s="2">
        <f t="shared" si="27"/>
        <v>0</v>
      </c>
      <c r="BC31" s="2">
        <f t="shared" si="27"/>
        <v>0</v>
      </c>
      <c r="BD31" s="2">
        <f t="shared" si="27"/>
        <v>0</v>
      </c>
      <c r="BE31" s="2">
        <f t="shared" si="27"/>
        <v>0</v>
      </c>
      <c r="BF31" s="2">
        <f t="shared" si="27"/>
        <v>0</v>
      </c>
      <c r="BG31" s="2"/>
    </row>
    <row r="32" spans="2:59" x14ac:dyDescent="0.25">
      <c r="B32" t="s">
        <v>20</v>
      </c>
      <c r="G32" s="2">
        <v>3682</v>
      </c>
      <c r="H32" s="2">
        <v>1886</v>
      </c>
      <c r="I32" s="2">
        <v>1884</v>
      </c>
      <c r="J32" s="2">
        <v>2228</v>
      </c>
      <c r="K32" s="2">
        <v>4824</v>
      </c>
      <c r="L32" s="2">
        <v>4381</v>
      </c>
      <c r="M32" s="2">
        <v>2625</v>
      </c>
      <c r="N32" s="2">
        <v>2697</v>
      </c>
      <c r="O32" s="2">
        <v>6611</v>
      </c>
      <c r="P32" s="2">
        <v>5129</v>
      </c>
      <c r="Q32" s="2">
        <v>3624</v>
      </c>
      <c r="R32" s="2">
        <v>3936</v>
      </c>
      <c r="S32" s="2">
        <v>5625</v>
      </c>
      <c r="T32" s="2">
        <v>4222</v>
      </c>
      <c r="U32" s="2">
        <v>2852</v>
      </c>
      <c r="V32" s="2">
        <f>+AT32-S32-T32-U32</f>
        <v>4042</v>
      </c>
      <c r="W32" s="2">
        <v>6407</v>
      </c>
      <c r="X32" s="2">
        <v>4422</v>
      </c>
      <c r="Y32" s="2">
        <v>4046</v>
      </c>
      <c r="Z32" s="2">
        <f>+AU32-W32-X32-Y32</f>
        <v>14874</v>
      </c>
      <c r="AA32" s="2"/>
      <c r="AB32" s="2"/>
      <c r="AC32" s="2"/>
      <c r="AD32" s="2"/>
      <c r="AG32" s="2">
        <v>4527</v>
      </c>
      <c r="AH32" s="2">
        <v>8283</v>
      </c>
      <c r="AI32" s="2">
        <v>14030</v>
      </c>
      <c r="AJ32" s="2">
        <v>13118</v>
      </c>
      <c r="AK32" s="2">
        <v>13973</v>
      </c>
      <c r="AL32" s="2">
        <v>19121</v>
      </c>
      <c r="AM32" s="2">
        <v>15685</v>
      </c>
      <c r="AN32" s="2">
        <v>15738</v>
      </c>
      <c r="AO32" s="2">
        <v>13372</v>
      </c>
      <c r="AP32" s="2">
        <v>10481</v>
      </c>
      <c r="AQ32" s="2">
        <v>9680</v>
      </c>
      <c r="AR32" s="2">
        <v>14527</v>
      </c>
      <c r="AS32" s="2">
        <v>19300</v>
      </c>
      <c r="AT32" s="2">
        <v>16741</v>
      </c>
      <c r="AU32" s="2">
        <v>29749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2:59" x14ac:dyDescent="0.25">
      <c r="B33" t="s">
        <v>21</v>
      </c>
      <c r="C33" s="2">
        <f>+C31-C32</f>
        <v>32031</v>
      </c>
      <c r="D33" s="2">
        <f t="shared" ref="D33:AD33" si="28">+D31-D32</f>
        <v>21821</v>
      </c>
      <c r="E33" s="2">
        <f t="shared" si="28"/>
        <v>20227</v>
      </c>
      <c r="F33" s="2">
        <f t="shared" si="28"/>
        <v>23313</v>
      </c>
      <c r="G33" s="2">
        <f t="shared" si="28"/>
        <v>22236</v>
      </c>
      <c r="H33" s="2">
        <f t="shared" si="28"/>
        <v>11249</v>
      </c>
      <c r="I33" s="2">
        <f t="shared" si="28"/>
        <v>11253</v>
      </c>
      <c r="J33" s="2">
        <f t="shared" si="28"/>
        <v>12673</v>
      </c>
      <c r="K33" s="2">
        <f t="shared" si="28"/>
        <v>28755</v>
      </c>
      <c r="L33" s="2">
        <f t="shared" si="28"/>
        <v>23630</v>
      </c>
      <c r="M33" s="2">
        <f t="shared" si="28"/>
        <v>21744</v>
      </c>
      <c r="N33" s="2">
        <f t="shared" si="28"/>
        <v>20551</v>
      </c>
      <c r="O33" s="2">
        <f t="shared" si="28"/>
        <v>34630</v>
      </c>
      <c r="P33" s="2">
        <f t="shared" si="28"/>
        <v>25010</v>
      </c>
      <c r="Q33" s="2">
        <f t="shared" si="28"/>
        <v>19442</v>
      </c>
      <c r="R33" s="2">
        <f t="shared" si="28"/>
        <v>20721</v>
      </c>
      <c r="S33" s="2">
        <f t="shared" si="28"/>
        <v>29998</v>
      </c>
      <c r="T33" s="2">
        <f t="shared" si="28"/>
        <v>24160</v>
      </c>
      <c r="U33" s="2">
        <f t="shared" si="28"/>
        <v>19881</v>
      </c>
      <c r="V33" s="2">
        <f t="shared" si="28"/>
        <v>22956</v>
      </c>
      <c r="W33" s="2">
        <f t="shared" si="28"/>
        <v>33916</v>
      </c>
      <c r="X33" s="2">
        <f t="shared" si="28"/>
        <v>23636</v>
      </c>
      <c r="Y33" s="2">
        <f t="shared" si="28"/>
        <v>21448</v>
      </c>
      <c r="Z33" s="2">
        <f t="shared" si="28"/>
        <v>14736</v>
      </c>
      <c r="AA33" s="2">
        <f t="shared" si="28"/>
        <v>0</v>
      </c>
      <c r="AB33" s="2">
        <f t="shared" si="28"/>
        <v>0</v>
      </c>
      <c r="AC33" s="2">
        <f t="shared" si="28"/>
        <v>0</v>
      </c>
      <c r="AD33" s="2">
        <f t="shared" si="28"/>
        <v>0</v>
      </c>
      <c r="AG33" s="2">
        <f t="shared" ref="AG33:BF33" si="29">+AG31-AG32</f>
        <v>14013</v>
      </c>
      <c r="AH33" s="2">
        <f t="shared" si="29"/>
        <v>25922</v>
      </c>
      <c r="AI33" s="2">
        <f t="shared" si="29"/>
        <v>41733</v>
      </c>
      <c r="AJ33" s="2">
        <f t="shared" si="29"/>
        <v>37037</v>
      </c>
      <c r="AK33" s="2">
        <f t="shared" si="29"/>
        <v>39510</v>
      </c>
      <c r="AL33" s="2">
        <f t="shared" si="29"/>
        <v>53394</v>
      </c>
      <c r="AM33" s="2">
        <f t="shared" si="29"/>
        <v>45687</v>
      </c>
      <c r="AN33" s="2">
        <f t="shared" si="29"/>
        <v>48351</v>
      </c>
      <c r="AO33" s="2">
        <f t="shared" si="29"/>
        <v>59531</v>
      </c>
      <c r="AP33" s="2">
        <f t="shared" si="29"/>
        <v>55256</v>
      </c>
      <c r="AQ33" s="2">
        <f t="shared" si="29"/>
        <v>57411</v>
      </c>
      <c r="AR33" s="2">
        <f t="shared" si="29"/>
        <v>94680</v>
      </c>
      <c r="AS33" s="2">
        <f t="shared" si="29"/>
        <v>99803</v>
      </c>
      <c r="AT33" s="2">
        <f t="shared" si="29"/>
        <v>96995</v>
      </c>
      <c r="AU33" s="2">
        <f t="shared" si="29"/>
        <v>93736</v>
      </c>
      <c r="AV33" s="2">
        <f t="shared" si="29"/>
        <v>0</v>
      </c>
      <c r="AW33" s="2">
        <f t="shared" si="29"/>
        <v>0</v>
      </c>
      <c r="AX33" s="2">
        <f t="shared" si="29"/>
        <v>0</v>
      </c>
      <c r="AY33" s="2">
        <f t="shared" si="29"/>
        <v>0</v>
      </c>
      <c r="AZ33" s="2">
        <f t="shared" si="29"/>
        <v>0</v>
      </c>
      <c r="BA33" s="2">
        <f t="shared" si="29"/>
        <v>0</v>
      </c>
      <c r="BB33" s="2">
        <f t="shared" si="29"/>
        <v>0</v>
      </c>
      <c r="BC33" s="2">
        <f t="shared" si="29"/>
        <v>0</v>
      </c>
      <c r="BD33" s="2">
        <f t="shared" si="29"/>
        <v>0</v>
      </c>
      <c r="BE33" s="2">
        <f t="shared" si="29"/>
        <v>0</v>
      </c>
      <c r="BF33" s="2">
        <f t="shared" si="29"/>
        <v>0</v>
      </c>
      <c r="BG33" s="2"/>
    </row>
    <row r="34" spans="2:59" s="13" customFormat="1" x14ac:dyDescent="0.25">
      <c r="B34" s="13" t="s">
        <v>22</v>
      </c>
      <c r="E34" s="13" t="e">
        <f>+E33/E35</f>
        <v>#DIV/0!</v>
      </c>
      <c r="F34" s="13" t="e">
        <f t="shared" ref="F34:AD34" si="30">+F33/F35</f>
        <v>#DIV/0!</v>
      </c>
      <c r="G34" s="13">
        <f t="shared" si="30"/>
        <v>1.2479223042091785</v>
      </c>
      <c r="H34" s="13">
        <f t="shared" si="30"/>
        <v>0.63846699811252383</v>
      </c>
      <c r="I34" s="13">
        <f t="shared" si="30"/>
        <v>0.64601300384622584</v>
      </c>
      <c r="J34" s="13">
        <f t="shared" si="30"/>
        <v>0.73438904632051849</v>
      </c>
      <c r="K34" s="13">
        <f t="shared" si="30"/>
        <v>1.6802339741147556</v>
      </c>
      <c r="L34" s="13">
        <f t="shared" si="30"/>
        <v>1.3958166966021994</v>
      </c>
      <c r="M34" s="13">
        <f t="shared" si="30"/>
        <v>1.2956943963183782</v>
      </c>
      <c r="N34" s="13">
        <f t="shared" si="30"/>
        <v>1.2354000701047909</v>
      </c>
      <c r="O34" s="13">
        <f t="shared" si="30"/>
        <v>2.0963369432743812</v>
      </c>
      <c r="P34" s="13">
        <f t="shared" si="30"/>
        <v>1.5246917147727936</v>
      </c>
      <c r="Q34" s="13">
        <f t="shared" si="30"/>
        <v>1.1955329791418789</v>
      </c>
      <c r="R34" s="13">
        <f t="shared" si="30"/>
        <v>1.2855442500262897</v>
      </c>
      <c r="S34" s="13">
        <f t="shared" si="30"/>
        <v>1.8800783518485347</v>
      </c>
      <c r="T34" s="13">
        <f t="shared" si="30"/>
        <v>1.5245739743359175</v>
      </c>
      <c r="U34" s="13">
        <f t="shared" si="30"/>
        <v>1.2602835837746269</v>
      </c>
      <c r="V34" s="13">
        <f t="shared" si="30"/>
        <v>1.4518087528459398</v>
      </c>
      <c r="W34" s="13">
        <f t="shared" si="30"/>
        <v>2.1773628858750742</v>
      </c>
      <c r="X34" s="13">
        <f t="shared" si="30"/>
        <v>1.5283831076291186</v>
      </c>
      <c r="Y34" s="13">
        <f t="shared" si="30"/>
        <v>1.3974299876043894</v>
      </c>
      <c r="Z34" s="13">
        <f t="shared" si="30"/>
        <v>0.95638629283489096</v>
      </c>
      <c r="AA34" s="17" t="e">
        <f t="shared" si="30"/>
        <v>#DIV/0!</v>
      </c>
      <c r="AB34" s="17" t="e">
        <f t="shared" si="30"/>
        <v>#DIV/0!</v>
      </c>
      <c r="AC34" s="17" t="e">
        <f t="shared" si="30"/>
        <v>#DIV/0!</v>
      </c>
      <c r="AD34" s="17" t="e">
        <f t="shared" si="30"/>
        <v>#DIV/0!</v>
      </c>
      <c r="AG34" s="13">
        <f t="shared" ref="AG34:AU34" si="31">+AG33/AG35</f>
        <v>15.15390737872981</v>
      </c>
      <c r="AH34" s="13">
        <f t="shared" si="31"/>
        <v>27.675373273759003</v>
      </c>
      <c r="AI34" s="13">
        <f t="shared" si="31"/>
        <v>6.3064763445557777</v>
      </c>
      <c r="AJ34" s="13">
        <f t="shared" si="31"/>
        <v>5.6790982137298718</v>
      </c>
      <c r="AK34" s="13">
        <f t="shared" si="31"/>
        <v>6.4530744220284548</v>
      </c>
      <c r="AL34" s="13">
        <f t="shared" si="31"/>
        <v>9.216876236067618</v>
      </c>
      <c r="AM34" s="13">
        <f t="shared" si="31"/>
        <v>8.3063028961611227</v>
      </c>
      <c r="AN34" s="13">
        <f t="shared" si="31"/>
        <v>9.2067470826545037</v>
      </c>
      <c r="AO34" s="13">
        <f t="shared" si="31"/>
        <v>2.97655</v>
      </c>
      <c r="AP34" s="13">
        <f t="shared" si="31"/>
        <v>2.9713916971391696</v>
      </c>
      <c r="AQ34" s="13">
        <f t="shared" si="31"/>
        <v>3.2753879507074397</v>
      </c>
      <c r="AR34" s="13">
        <f t="shared" si="31"/>
        <v>5.6139934776163649</v>
      </c>
      <c r="AS34" s="13">
        <f t="shared" si="31"/>
        <v>6.1131324268038707</v>
      </c>
      <c r="AT34" s="13">
        <f t="shared" si="31"/>
        <v>6.1342651151024539</v>
      </c>
      <c r="AU34" s="13">
        <f>+AU33/AU35</f>
        <v>6.0835929387331253</v>
      </c>
      <c r="AV34" s="13">
        <f t="shared" ref="AV34:BF34" si="32">+AV33/AV35</f>
        <v>0</v>
      </c>
      <c r="AW34" s="13">
        <f t="shared" si="32"/>
        <v>0</v>
      </c>
      <c r="AX34" s="13">
        <f t="shared" si="32"/>
        <v>0</v>
      </c>
      <c r="AY34" s="13">
        <f t="shared" si="32"/>
        <v>0</v>
      </c>
      <c r="AZ34" s="13">
        <f t="shared" si="32"/>
        <v>0</v>
      </c>
      <c r="BA34" s="13">
        <f t="shared" si="32"/>
        <v>0</v>
      </c>
      <c r="BB34" s="13">
        <f t="shared" si="32"/>
        <v>0</v>
      </c>
      <c r="BC34" s="13">
        <f t="shared" si="32"/>
        <v>0</v>
      </c>
      <c r="BD34" s="13">
        <f t="shared" si="32"/>
        <v>0</v>
      </c>
      <c r="BE34" s="13">
        <f t="shared" si="32"/>
        <v>0</v>
      </c>
      <c r="BF34" s="13">
        <f t="shared" si="32"/>
        <v>0</v>
      </c>
      <c r="BG34" s="17"/>
    </row>
    <row r="35" spans="2:59" x14ac:dyDescent="0.25">
      <c r="B35" t="s">
        <v>23</v>
      </c>
      <c r="G35" s="2">
        <v>17818.417000000001</v>
      </c>
      <c r="H35" s="2">
        <v>17618.764999999999</v>
      </c>
      <c r="I35" s="2">
        <v>17419.153999999999</v>
      </c>
      <c r="J35" s="2">
        <v>17256.521000000001</v>
      </c>
      <c r="K35" s="2">
        <v>17113.687999999998</v>
      </c>
      <c r="L35" s="2">
        <v>16929.156999999999</v>
      </c>
      <c r="M35" s="2">
        <v>16781.735000000001</v>
      </c>
      <c r="N35" s="2">
        <v>16635.097000000002</v>
      </c>
      <c r="O35" s="2">
        <v>16519.291000000001</v>
      </c>
      <c r="P35" s="2">
        <v>16403.315999999999</v>
      </c>
      <c r="Q35" s="2">
        <v>16262.203</v>
      </c>
      <c r="R35" s="2">
        <v>16118.465</v>
      </c>
      <c r="S35" s="2">
        <v>15955.718000000001</v>
      </c>
      <c r="T35" s="2">
        <v>15847.05</v>
      </c>
      <c r="U35" s="2">
        <v>15775.021000000001</v>
      </c>
      <c r="V35" s="2">
        <v>15812</v>
      </c>
      <c r="W35" s="2">
        <v>15576.641</v>
      </c>
      <c r="X35" s="2">
        <v>15464.709000000001</v>
      </c>
      <c r="Y35" s="2">
        <v>15348.174999999999</v>
      </c>
      <c r="Z35" s="2">
        <v>15408</v>
      </c>
      <c r="AA35" s="2"/>
      <c r="AB35" s="2"/>
      <c r="AC35" s="2"/>
      <c r="AD35" s="2"/>
      <c r="AG35" s="2">
        <v>924.71199999999999</v>
      </c>
      <c r="AH35" s="2">
        <v>936.64499999999998</v>
      </c>
      <c r="AI35" s="2">
        <v>6617.4830000000002</v>
      </c>
      <c r="AJ35" s="2">
        <v>6521.634</v>
      </c>
      <c r="AK35" s="2">
        <v>6122.6629999999996</v>
      </c>
      <c r="AL35" s="2">
        <v>5793.0690000000004</v>
      </c>
      <c r="AM35" s="2">
        <v>5500.2809999999999</v>
      </c>
      <c r="AN35" s="2">
        <v>5251.692</v>
      </c>
      <c r="AO35" s="2">
        <v>20000</v>
      </c>
      <c r="AP35" s="2">
        <v>18596</v>
      </c>
      <c r="AQ35" s="2">
        <v>17528</v>
      </c>
      <c r="AR35" s="2">
        <v>16865</v>
      </c>
      <c r="AS35" s="2">
        <v>16326</v>
      </c>
      <c r="AT35" s="2">
        <v>15812</v>
      </c>
      <c r="AU35" s="2">
        <v>15408</v>
      </c>
      <c r="AV35" s="2">
        <v>15408</v>
      </c>
      <c r="AW35" s="2">
        <v>15408</v>
      </c>
      <c r="AX35" s="2">
        <v>15408</v>
      </c>
      <c r="AY35" s="2">
        <v>15408</v>
      </c>
      <c r="AZ35" s="2">
        <v>15408</v>
      </c>
      <c r="BA35" s="2">
        <v>15408</v>
      </c>
      <c r="BB35" s="2">
        <v>15408</v>
      </c>
      <c r="BC35" s="2">
        <v>15408</v>
      </c>
      <c r="BD35" s="2">
        <v>15408</v>
      </c>
      <c r="BE35" s="2">
        <v>15408</v>
      </c>
      <c r="BF35" s="2">
        <v>15408</v>
      </c>
      <c r="BG35" s="2"/>
    </row>
    <row r="36" spans="2:59" x14ac:dyDescent="0.25">
      <c r="AA36" s="2"/>
      <c r="AB36" s="2"/>
      <c r="AC36" s="2"/>
      <c r="AD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2:59" s="1" customFormat="1" x14ac:dyDescent="0.25">
      <c r="B37" s="1" t="s">
        <v>24</v>
      </c>
      <c r="G37" s="12">
        <f>+G21/C21-1</f>
        <v>8.9064167951607098E-2</v>
      </c>
      <c r="H37" s="12">
        <f t="shared" ref="H37:AB37" si="33">+H21/D21-1</f>
        <v>5.1366026027750422E-3</v>
      </c>
      <c r="I37" s="12">
        <f t="shared" si="33"/>
        <v>0.10920106301919752</v>
      </c>
      <c r="J37" s="12">
        <f t="shared" si="33"/>
        <v>2.6300761421319763E-2</v>
      </c>
      <c r="K37" s="12">
        <f t="shared" si="33"/>
        <v>0.21368126422635836</v>
      </c>
      <c r="L37" s="12">
        <f t="shared" si="33"/>
        <v>0.53626121105070901</v>
      </c>
      <c r="M37" s="12">
        <f t="shared" si="33"/>
        <v>0.36439641450950822</v>
      </c>
      <c r="N37" s="12">
        <f t="shared" si="33"/>
        <v>0.28844786546724777</v>
      </c>
      <c r="O37" s="12">
        <f t="shared" si="33"/>
        <v>0.11222283042740866</v>
      </c>
      <c r="P37" s="12">
        <f t="shared" si="33"/>
        <v>8.5885872477228009E-2</v>
      </c>
      <c r="Q37" s="12">
        <f t="shared" si="33"/>
        <v>1.8726821720657316E-2</v>
      </c>
      <c r="R37" s="12">
        <f t="shared" si="33"/>
        <v>8.1405950095969182E-2</v>
      </c>
      <c r="S37" s="12">
        <f t="shared" si="33"/>
        <v>-5.4790431239662762E-2</v>
      </c>
      <c r="T37" s="12">
        <f t="shared" si="33"/>
        <v>-2.5103312156911084E-2</v>
      </c>
      <c r="U37" s="12">
        <f t="shared" si="33"/>
        <v>-1.4006919080509661E-2</v>
      </c>
      <c r="V37" s="12">
        <f t="shared" si="33"/>
        <v>-7.1883389168682088E-3</v>
      </c>
      <c r="W37" s="12">
        <f t="shared" si="33"/>
        <v>2.0665107465387411E-2</v>
      </c>
      <c r="X37" s="12">
        <f t="shared" si="33"/>
        <v>-4.3053270909781061E-2</v>
      </c>
      <c r="Y37" s="12">
        <f t="shared" si="33"/>
        <v>4.8657041211780383E-2</v>
      </c>
      <c r="Z37" s="12">
        <f t="shared" si="33"/>
        <v>6.0694093722764686E-2</v>
      </c>
      <c r="AA37" s="3">
        <f t="shared" si="33"/>
        <v>-1</v>
      </c>
      <c r="AB37" s="3">
        <f t="shared" si="33"/>
        <v>-1</v>
      </c>
      <c r="AC37" s="3">
        <f t="shared" ref="AC37" si="34">+AC21/Y21-1</f>
        <v>-1</v>
      </c>
      <c r="AD37" s="3">
        <f t="shared" ref="AD37" si="35">+AD21/Z21-1</f>
        <v>-1</v>
      </c>
      <c r="AG37" s="12"/>
      <c r="AH37" s="12">
        <f>+AH21/AG21-1</f>
        <v>0.65962437715599842</v>
      </c>
      <c r="AI37" s="12">
        <f t="shared" ref="AI37:BF37" si="36">+AI21/AH21-1</f>
        <v>0.44581474193756976</v>
      </c>
      <c r="AJ37" s="12">
        <f t="shared" si="36"/>
        <v>9.2020855163953197E-2</v>
      </c>
      <c r="AK37" s="12">
        <f t="shared" si="36"/>
        <v>6.9539523725937524E-2</v>
      </c>
      <c r="AL37" s="12">
        <f t="shared" si="36"/>
        <v>0.27856341803659834</v>
      </c>
      <c r="AM37" s="12">
        <f t="shared" si="36"/>
        <v>-7.7342061913013738E-2</v>
      </c>
      <c r="AN37" s="12">
        <f t="shared" si="36"/>
        <v>6.304518199398057E-2</v>
      </c>
      <c r="AO37" s="12">
        <f t="shared" si="36"/>
        <v>0.15861957650261305</v>
      </c>
      <c r="AP37" s="12">
        <f t="shared" si="36"/>
        <v>-2.04107758052674E-2</v>
      </c>
      <c r="AQ37" s="12">
        <f t="shared" si="36"/>
        <v>5.5120803769784787E-2</v>
      </c>
      <c r="AR37" s="12">
        <f t="shared" si="36"/>
        <v>0.33259384733074704</v>
      </c>
      <c r="AS37" s="12">
        <f t="shared" si="36"/>
        <v>7.7937876041846099E-2</v>
      </c>
      <c r="AT37" s="12">
        <f t="shared" si="36"/>
        <v>-2.800460530319937E-2</v>
      </c>
      <c r="AU37" s="12">
        <f t="shared" si="36"/>
        <v>2.021994077514111E-2</v>
      </c>
      <c r="AV37" s="18">
        <f t="shared" si="36"/>
        <v>-1</v>
      </c>
      <c r="AW37" s="18" t="e">
        <f t="shared" si="36"/>
        <v>#DIV/0!</v>
      </c>
      <c r="AX37" s="18" t="e">
        <f t="shared" si="36"/>
        <v>#DIV/0!</v>
      </c>
      <c r="AY37" s="18" t="e">
        <f t="shared" si="36"/>
        <v>#DIV/0!</v>
      </c>
      <c r="AZ37" s="18" t="e">
        <f t="shared" si="36"/>
        <v>#DIV/0!</v>
      </c>
      <c r="BA37" s="18" t="e">
        <f t="shared" si="36"/>
        <v>#DIV/0!</v>
      </c>
      <c r="BB37" s="18" t="e">
        <f t="shared" si="36"/>
        <v>#DIV/0!</v>
      </c>
      <c r="BC37" s="18" t="e">
        <f t="shared" si="36"/>
        <v>#DIV/0!</v>
      </c>
      <c r="BD37" s="18" t="e">
        <f t="shared" si="36"/>
        <v>#DIV/0!</v>
      </c>
      <c r="BE37" s="18" t="e">
        <f t="shared" si="36"/>
        <v>#DIV/0!</v>
      </c>
      <c r="BF37" s="18" t="e">
        <f t="shared" si="36"/>
        <v>#DIV/0!</v>
      </c>
      <c r="BG37" s="3"/>
    </row>
    <row r="38" spans="2:59" x14ac:dyDescent="0.25">
      <c r="B38" t="s">
        <v>25</v>
      </c>
      <c r="G38" s="9">
        <f>+G11/C11-1</f>
        <v>7.6468777653803333E-2</v>
      </c>
      <c r="H38" s="9">
        <f t="shared" ref="H38:Z38" si="37">+H11/D11-1</f>
        <v>-6.727641621847924E-2</v>
      </c>
      <c r="I38" s="9">
        <f t="shared" si="37"/>
        <v>1.6624336181020549E-2</v>
      </c>
      <c r="J38" s="9">
        <f t="shared" si="37"/>
        <v>-0.20736166896469033</v>
      </c>
      <c r="K38" s="9">
        <f t="shared" si="37"/>
        <v>0.1722751398395197</v>
      </c>
      <c r="L38" s="9">
        <f t="shared" si="37"/>
        <v>0.65520336993301576</v>
      </c>
      <c r="M38" s="9">
        <f t="shared" si="37"/>
        <v>0.49784238019532134</v>
      </c>
      <c r="N38" s="9">
        <f t="shared" si="37"/>
        <v>0.46982302223566785</v>
      </c>
      <c r="O38" s="9">
        <f t="shared" si="37"/>
        <v>9.1940180191167231E-2</v>
      </c>
      <c r="P38" s="9">
        <f t="shared" si="37"/>
        <v>5.4904251324627618E-2</v>
      </c>
      <c r="Q38" s="9">
        <f t="shared" si="37"/>
        <v>2.7672479150871787E-2</v>
      </c>
      <c r="R38" s="9">
        <f t="shared" si="37"/>
        <v>9.6686220026757308E-2</v>
      </c>
      <c r="S38" s="9">
        <f t="shared" si="37"/>
        <v>-8.1713854917071505E-2</v>
      </c>
      <c r="T38" s="9">
        <f t="shared" si="37"/>
        <v>1.510777140597197E-2</v>
      </c>
      <c r="U38" s="9">
        <f t="shared" si="37"/>
        <v>-2.4492807082257428E-2</v>
      </c>
      <c r="V38" s="9">
        <f t="shared" si="37"/>
        <v>2.7659175151315996E-2</v>
      </c>
      <c r="W38" s="9">
        <f t="shared" si="37"/>
        <v>5.9703534777651113E-2</v>
      </c>
      <c r="X38" s="9">
        <f t="shared" si="37"/>
        <v>-0.10462851131803486</v>
      </c>
      <c r="Y38" s="9">
        <f t="shared" si="37"/>
        <v>-9.4028082381708566E-3</v>
      </c>
      <c r="Z38" s="9">
        <f t="shared" si="37"/>
        <v>5.5176349731765884E-2</v>
      </c>
      <c r="AA38" s="19"/>
      <c r="AB38" s="19"/>
      <c r="AC38" s="19"/>
      <c r="AD38" s="19"/>
      <c r="AG38" s="9"/>
      <c r="AH38" s="9">
        <f>+AH11/AG11-1</f>
        <v>0.82683982683982693</v>
      </c>
      <c r="AI38" s="9">
        <f t="shared" ref="AI38:BF38" si="38">+AI11/AH11-1</f>
        <v>0.71077003347971646</v>
      </c>
      <c r="AJ38" s="9">
        <f t="shared" si="38"/>
        <v>0.15995272708788688</v>
      </c>
      <c r="AK38" s="9">
        <f t="shared" si="38"/>
        <v>0.11735448460215392</v>
      </c>
      <c r="AL38" s="9">
        <f t="shared" si="38"/>
        <v>0.52014393426870997</v>
      </c>
      <c r="AM38" s="9">
        <f t="shared" si="38"/>
        <v>-0.11829774059764842</v>
      </c>
      <c r="AN38" s="9">
        <f t="shared" si="38"/>
        <v>3.3789319678127372E-2</v>
      </c>
      <c r="AO38" s="9">
        <f t="shared" si="38"/>
        <v>0.16677870633106662</v>
      </c>
      <c r="AP38" s="9">
        <f t="shared" si="38"/>
        <v>-0.13649871427878313</v>
      </c>
      <c r="AQ38" s="9">
        <f t="shared" si="38"/>
        <v>-3.2307681502447672E-2</v>
      </c>
      <c r="AR38" s="9">
        <f t="shared" si="38"/>
        <v>0.39331983364905176</v>
      </c>
      <c r="AS38" s="9">
        <f t="shared" si="38"/>
        <v>7.0405734139696641E-2</v>
      </c>
      <c r="AT38" s="9">
        <f t="shared" si="38"/>
        <v>-2.3874757286278081E-2</v>
      </c>
      <c r="AU38" s="9">
        <f t="shared" si="38"/>
        <v>2.9912804175826757E-3</v>
      </c>
      <c r="AV38" s="19">
        <f t="shared" si="38"/>
        <v>-1</v>
      </c>
      <c r="AW38" s="19" t="e">
        <f t="shared" si="38"/>
        <v>#DIV/0!</v>
      </c>
      <c r="AX38" s="19" t="e">
        <f t="shared" si="38"/>
        <v>#DIV/0!</v>
      </c>
      <c r="AY38" s="19" t="e">
        <f t="shared" si="38"/>
        <v>#DIV/0!</v>
      </c>
      <c r="AZ38" s="19" t="e">
        <f t="shared" si="38"/>
        <v>#DIV/0!</v>
      </c>
      <c r="BA38" s="19" t="e">
        <f t="shared" si="38"/>
        <v>#DIV/0!</v>
      </c>
      <c r="BB38" s="19" t="e">
        <f t="shared" si="38"/>
        <v>#DIV/0!</v>
      </c>
      <c r="BC38" s="19" t="e">
        <f t="shared" si="38"/>
        <v>#DIV/0!</v>
      </c>
      <c r="BD38" s="19" t="e">
        <f t="shared" si="38"/>
        <v>#DIV/0!</v>
      </c>
      <c r="BE38" s="19" t="e">
        <f t="shared" si="38"/>
        <v>#DIV/0!</v>
      </c>
      <c r="BF38" s="19" t="e">
        <f t="shared" si="38"/>
        <v>#DIV/0!</v>
      </c>
      <c r="BG38" s="2"/>
    </row>
    <row r="39" spans="2:59" x14ac:dyDescent="0.25">
      <c r="B39" t="s">
        <v>26</v>
      </c>
      <c r="G39" s="9">
        <f>+G20/C20-1</f>
        <v>0.16919540229885066</v>
      </c>
      <c r="H39" s="9">
        <f t="shared" ref="H39:Z39" si="39">+H20/D20-1</f>
        <v>0.16576419213973792</v>
      </c>
      <c r="I39" s="9">
        <f t="shared" si="39"/>
        <v>0.14849410737669144</v>
      </c>
      <c r="J39" s="9">
        <f t="shared" si="39"/>
        <v>0.16289665094716654</v>
      </c>
      <c r="K39" s="9">
        <f t="shared" si="39"/>
        <v>0.23955957530475813</v>
      </c>
      <c r="L39" s="9">
        <f t="shared" si="39"/>
        <v>0.26618219958046141</v>
      </c>
      <c r="M39" s="9">
        <f t="shared" si="39"/>
        <v>0.32912739434478566</v>
      </c>
      <c r="N39" s="9">
        <f t="shared" si="39"/>
        <v>0.25623754209911342</v>
      </c>
      <c r="O39" s="9">
        <f t="shared" si="39"/>
        <v>0.23824630416851722</v>
      </c>
      <c r="P39" s="9">
        <f t="shared" si="39"/>
        <v>0.17277084196201398</v>
      </c>
      <c r="Q39" s="9">
        <f t="shared" si="39"/>
        <v>0.12112547180601618</v>
      </c>
      <c r="R39" s="9">
        <f t="shared" si="39"/>
        <v>4.984406631285232E-2</v>
      </c>
      <c r="S39" s="9">
        <f t="shared" si="39"/>
        <v>6.4050010248001721E-2</v>
      </c>
      <c r="T39" s="9">
        <f t="shared" si="39"/>
        <v>5.4790373845921003E-2</v>
      </c>
      <c r="U39" s="9">
        <f t="shared" si="39"/>
        <v>8.2075086716996593E-2</v>
      </c>
      <c r="V39" s="9">
        <f t="shared" si="39"/>
        <v>0.16291432145090678</v>
      </c>
      <c r="W39" s="9">
        <f t="shared" si="39"/>
        <v>0.11321390734855052</v>
      </c>
      <c r="X39" s="9">
        <f t="shared" si="39"/>
        <v>0.14157937532883724</v>
      </c>
      <c r="Y39" s="9">
        <f t="shared" si="39"/>
        <v>0.1414227124876255</v>
      </c>
      <c r="Z39" s="9">
        <f t="shared" si="39"/>
        <v>0.11911804248453883</v>
      </c>
      <c r="AA39" s="2"/>
      <c r="AB39" s="2"/>
      <c r="AC39" s="2"/>
      <c r="AD39" s="2"/>
      <c r="AG39" s="9"/>
      <c r="AH39" s="9">
        <f>+AH20/AG20-1</f>
        <v>0.24624385055178832</v>
      </c>
      <c r="AI39" s="9">
        <f t="shared" ref="AI39:BF39" si="40">+AI20/AH20-1</f>
        <v>0.37522671503254035</v>
      </c>
      <c r="AJ39" s="9">
        <f t="shared" si="40"/>
        <v>0.24522885958107055</v>
      </c>
      <c r="AK39" s="9">
        <f t="shared" si="40"/>
        <v>0.12535044545511176</v>
      </c>
      <c r="AL39" s="9">
        <f t="shared" si="40"/>
        <v>0.10219786303493339</v>
      </c>
      <c r="AM39" s="9">
        <f t="shared" si="40"/>
        <v>0.22296448842232164</v>
      </c>
      <c r="AN39" s="9">
        <f t="shared" si="40"/>
        <v>0.23131263348118947</v>
      </c>
      <c r="AO39" s="9">
        <f t="shared" si="40"/>
        <v>0.3258172114743163</v>
      </c>
      <c r="AP39" s="9">
        <f t="shared" si="40"/>
        <v>0.16461205595250084</v>
      </c>
      <c r="AQ39" s="9">
        <f t="shared" si="40"/>
        <v>0.16152167807997242</v>
      </c>
      <c r="AR39" s="9">
        <f t="shared" si="40"/>
        <v>0.27259708376729663</v>
      </c>
      <c r="AS39" s="9">
        <f t="shared" si="40"/>
        <v>0.14181951041286078</v>
      </c>
      <c r="AT39" s="9">
        <f t="shared" si="40"/>
        <v>9.0504166186691215E-2</v>
      </c>
      <c r="AU39" s="9">
        <f t="shared" si="40"/>
        <v>0.12874413145539898</v>
      </c>
      <c r="AV39" s="19">
        <f t="shared" si="40"/>
        <v>-1</v>
      </c>
      <c r="AW39" s="19" t="e">
        <f t="shared" si="40"/>
        <v>#DIV/0!</v>
      </c>
      <c r="AX39" s="19" t="e">
        <f t="shared" si="40"/>
        <v>#DIV/0!</v>
      </c>
      <c r="AY39" s="19" t="e">
        <f t="shared" si="40"/>
        <v>#DIV/0!</v>
      </c>
      <c r="AZ39" s="19" t="e">
        <f t="shared" si="40"/>
        <v>#DIV/0!</v>
      </c>
      <c r="BA39" s="19" t="e">
        <f t="shared" si="40"/>
        <v>#DIV/0!</v>
      </c>
      <c r="BB39" s="19" t="e">
        <f t="shared" si="40"/>
        <v>#DIV/0!</v>
      </c>
      <c r="BC39" s="19" t="e">
        <f t="shared" si="40"/>
        <v>#DIV/0!</v>
      </c>
      <c r="BD39" s="19" t="e">
        <f t="shared" si="40"/>
        <v>#DIV/0!</v>
      </c>
      <c r="BE39" s="19" t="e">
        <f t="shared" si="40"/>
        <v>#DIV/0!</v>
      </c>
      <c r="BF39" s="19" t="e">
        <f t="shared" si="40"/>
        <v>#DIV/0!</v>
      </c>
      <c r="BG39" s="2"/>
    </row>
    <row r="40" spans="2:59" x14ac:dyDescent="0.25">
      <c r="B40" t="s">
        <v>27</v>
      </c>
      <c r="C40" s="9">
        <f>+C25/C21</f>
        <v>0.37991934527339583</v>
      </c>
      <c r="D40" s="9">
        <f t="shared" ref="D40:Z40" si="41">+D25/D21</f>
        <v>0.37612686374213566</v>
      </c>
      <c r="E40" s="9">
        <f t="shared" si="41"/>
        <v>0.37590365923916075</v>
      </c>
      <c r="F40" s="9">
        <f t="shared" si="41"/>
        <v>0.36981281725888326</v>
      </c>
      <c r="G40" s="9">
        <f t="shared" si="41"/>
        <v>0.38354806739345887</v>
      </c>
      <c r="H40" s="9">
        <f t="shared" si="41"/>
        <v>0.38361943305952362</v>
      </c>
      <c r="I40" s="9">
        <f t="shared" si="41"/>
        <v>0.37999497361146017</v>
      </c>
      <c r="J40" s="9">
        <f t="shared" si="41"/>
        <v>0.38160375900336951</v>
      </c>
      <c r="K40" s="9">
        <f t="shared" si="41"/>
        <v>0.39777815665969724</v>
      </c>
      <c r="L40" s="9">
        <f t="shared" si="41"/>
        <v>0.42506474370423292</v>
      </c>
      <c r="M40" s="9">
        <f t="shared" si="41"/>
        <v>0.43292727853230839</v>
      </c>
      <c r="N40" s="9">
        <f t="shared" si="41"/>
        <v>0.42195297504798462</v>
      </c>
      <c r="O40" s="9">
        <f t="shared" si="41"/>
        <v>0.43763766186615033</v>
      </c>
      <c r="P40" s="9">
        <f t="shared" si="41"/>
        <v>0.43749871502292398</v>
      </c>
      <c r="Q40" s="9">
        <f t="shared" si="41"/>
        <v>0.43256307332537758</v>
      </c>
      <c r="R40" s="9">
        <f t="shared" si="41"/>
        <v>0.4225922392563175</v>
      </c>
      <c r="S40" s="9">
        <f t="shared" si="41"/>
        <v>0.42962254809908323</v>
      </c>
      <c r="T40" s="9">
        <f t="shared" si="41"/>
        <v>0.44261672782487665</v>
      </c>
      <c r="U40" s="9">
        <f t="shared" si="41"/>
        <v>0.44516302553883397</v>
      </c>
      <c r="V40" s="9">
        <f t="shared" si="41"/>
        <v>0.45170841806520817</v>
      </c>
      <c r="W40" s="9">
        <f t="shared" si="41"/>
        <v>0.45874973865774621</v>
      </c>
      <c r="X40" s="9">
        <f t="shared" si="41"/>
        <v>0.46578074554009236</v>
      </c>
      <c r="Y40" s="9">
        <f t="shared" si="41"/>
        <v>0.46257155181458898</v>
      </c>
      <c r="Z40" s="9">
        <f t="shared" si="41"/>
        <v>0.4622247972190035</v>
      </c>
      <c r="AA40" s="2"/>
      <c r="AB40" s="2"/>
      <c r="AC40" s="2"/>
      <c r="AD40" s="2"/>
      <c r="AG40" s="9">
        <f>+AG25/AG21</f>
        <v>0.39377539287083174</v>
      </c>
      <c r="AH40" s="9">
        <f>+AH25/AH21</f>
        <v>0.40478895878945764</v>
      </c>
      <c r="AI40" s="9">
        <f t="shared" ref="AI40:BF40" si="42">+AI25/AI21</f>
        <v>0.43871239808827661</v>
      </c>
      <c r="AJ40" s="9">
        <f t="shared" si="42"/>
        <v>0.37624480720847231</v>
      </c>
      <c r="AK40" s="9">
        <f t="shared" si="42"/>
        <v>0.38588035777783858</v>
      </c>
      <c r="AL40" s="9">
        <f t="shared" si="42"/>
        <v>0.40059902017414373</v>
      </c>
      <c r="AM40" s="9">
        <f t="shared" si="42"/>
        <v>0.39075955648097049</v>
      </c>
      <c r="AN40" s="9">
        <f t="shared" si="42"/>
        <v>0.38469860491899105</v>
      </c>
      <c r="AO40" s="9">
        <f t="shared" si="42"/>
        <v>0.38343718820007905</v>
      </c>
      <c r="AP40" s="9">
        <f t="shared" si="42"/>
        <v>0.37817768109034722</v>
      </c>
      <c r="AQ40" s="9">
        <f t="shared" si="42"/>
        <v>0.38233247727810865</v>
      </c>
      <c r="AR40" s="9">
        <f t="shared" si="42"/>
        <v>0.41779359625167778</v>
      </c>
      <c r="AS40" s="9">
        <f t="shared" si="42"/>
        <v>0.43309630561360085</v>
      </c>
      <c r="AT40" s="9">
        <f t="shared" si="42"/>
        <v>0.44131129577207562</v>
      </c>
      <c r="AU40" s="9">
        <f t="shared" si="42"/>
        <v>0.46206349815233932</v>
      </c>
      <c r="AV40" s="19" t="e">
        <f t="shared" si="42"/>
        <v>#DIV/0!</v>
      </c>
      <c r="AW40" s="19" t="e">
        <f t="shared" si="42"/>
        <v>#DIV/0!</v>
      </c>
      <c r="AX40" s="19" t="e">
        <f t="shared" si="42"/>
        <v>#DIV/0!</v>
      </c>
      <c r="AY40" s="19" t="e">
        <f t="shared" si="42"/>
        <v>#DIV/0!</v>
      </c>
      <c r="AZ40" s="19" t="e">
        <f t="shared" si="42"/>
        <v>#DIV/0!</v>
      </c>
      <c r="BA40" s="19" t="e">
        <f t="shared" si="42"/>
        <v>#DIV/0!</v>
      </c>
      <c r="BB40" s="19" t="e">
        <f t="shared" si="42"/>
        <v>#DIV/0!</v>
      </c>
      <c r="BC40" s="19" t="e">
        <f t="shared" si="42"/>
        <v>#DIV/0!</v>
      </c>
      <c r="BD40" s="19" t="e">
        <f t="shared" si="42"/>
        <v>#DIV/0!</v>
      </c>
      <c r="BE40" s="19" t="e">
        <f t="shared" si="42"/>
        <v>#DIV/0!</v>
      </c>
      <c r="BF40" s="19" t="e">
        <f t="shared" si="42"/>
        <v>#DIV/0!</v>
      </c>
      <c r="BG40" s="2"/>
    </row>
    <row r="41" spans="2:59" s="10" customFormat="1" x14ac:dyDescent="0.25">
      <c r="B41" s="10" t="s">
        <v>28</v>
      </c>
      <c r="C41" s="11">
        <f>(C20-C23)/C20</f>
        <v>0.62841379310344825</v>
      </c>
      <c r="D41" s="11">
        <f t="shared" ref="D41:Z41" si="43">(D20-D23)/D20</f>
        <v>0.63781659388646283</v>
      </c>
      <c r="E41" s="11">
        <f t="shared" si="43"/>
        <v>0.64129201222173726</v>
      </c>
      <c r="F41" s="11">
        <f t="shared" si="43"/>
        <v>0.64119574774198707</v>
      </c>
      <c r="G41" s="11">
        <f t="shared" si="43"/>
        <v>0.64396382225717652</v>
      </c>
      <c r="H41" s="11">
        <f t="shared" si="43"/>
        <v>0.65373089601438417</v>
      </c>
      <c r="I41" s="11">
        <f t="shared" si="43"/>
        <v>0.67224080267558528</v>
      </c>
      <c r="J41" s="11">
        <f t="shared" si="43"/>
        <v>0.66925561894288266</v>
      </c>
      <c r="K41" s="11">
        <f t="shared" si="43"/>
        <v>0.6839667533785927</v>
      </c>
      <c r="L41" s="11">
        <f t="shared" si="43"/>
        <v>0.70072776758771671</v>
      </c>
      <c r="M41" s="11">
        <f t="shared" si="43"/>
        <v>0.69804414960539862</v>
      </c>
      <c r="N41" s="11">
        <f t="shared" si="43"/>
        <v>0.704765552333534</v>
      </c>
      <c r="O41" s="11">
        <f t="shared" si="43"/>
        <v>0.72366263578602175</v>
      </c>
      <c r="P41" s="11">
        <f t="shared" si="43"/>
        <v>0.72609858231168967</v>
      </c>
      <c r="Q41" s="11">
        <f t="shared" si="43"/>
        <v>0.71490512140379514</v>
      </c>
      <c r="R41" s="11">
        <f t="shared" si="43"/>
        <v>0.70481550969355844</v>
      </c>
      <c r="S41" s="11">
        <f t="shared" si="43"/>
        <v>0.70832129442357705</v>
      </c>
      <c r="T41" s="11">
        <f t="shared" si="43"/>
        <v>0.70990577318601422</v>
      </c>
      <c r="U41" s="11">
        <f t="shared" si="43"/>
        <v>0.70546363079243857</v>
      </c>
      <c r="V41" s="11">
        <f t="shared" si="43"/>
        <v>0.70937528009321504</v>
      </c>
      <c r="W41" s="11">
        <f t="shared" si="43"/>
        <v>0.728338452221309</v>
      </c>
      <c r="X41" s="11">
        <f t="shared" si="43"/>
        <v>0.74617672937528801</v>
      </c>
      <c r="Y41" s="11">
        <f t="shared" si="43"/>
        <v>0.73997439392062114</v>
      </c>
      <c r="Z41" s="11">
        <f t="shared" si="43"/>
        <v>0.74030914624379307</v>
      </c>
      <c r="AA41" s="21"/>
      <c r="AB41" s="21"/>
      <c r="AC41" s="21"/>
      <c r="AD41" s="21"/>
      <c r="AG41" s="11"/>
      <c r="AH41" s="11"/>
      <c r="AI41" s="11"/>
      <c r="AJ41" s="11"/>
      <c r="AK41" s="11"/>
      <c r="AL41" s="11"/>
      <c r="AM41" s="11"/>
      <c r="AN41" s="11"/>
      <c r="AO41" s="11">
        <f>(AO20-AO23)/AO20</f>
        <v>0.60772869075173597</v>
      </c>
      <c r="AP41" s="11">
        <f t="shared" ref="AP41:BF41" si="44">(AP20-AP23)/AP20</f>
        <v>0.63738091637683347</v>
      </c>
      <c r="AQ41" s="11">
        <f t="shared" si="44"/>
        <v>0.66015101919357233</v>
      </c>
      <c r="AR41" s="11">
        <f t="shared" si="44"/>
        <v>0.69725977347460721</v>
      </c>
      <c r="AS41" s="11">
        <f t="shared" si="44"/>
        <v>0.71745446633132381</v>
      </c>
      <c r="AT41" s="11">
        <f t="shared" si="44"/>
        <v>0.70827464788732397</v>
      </c>
      <c r="AU41" s="11">
        <f>(AU20-AU23)/AU20</f>
        <v>0.7388035645582256</v>
      </c>
      <c r="AV41" s="20" t="e">
        <f t="shared" si="44"/>
        <v>#DIV/0!</v>
      </c>
      <c r="AW41" s="20" t="e">
        <f t="shared" si="44"/>
        <v>#DIV/0!</v>
      </c>
      <c r="AX41" s="20" t="e">
        <f t="shared" si="44"/>
        <v>#DIV/0!</v>
      </c>
      <c r="AY41" s="20" t="e">
        <f t="shared" si="44"/>
        <v>#DIV/0!</v>
      </c>
      <c r="AZ41" s="20" t="e">
        <f t="shared" si="44"/>
        <v>#DIV/0!</v>
      </c>
      <c r="BA41" s="20" t="e">
        <f t="shared" si="44"/>
        <v>#DIV/0!</v>
      </c>
      <c r="BB41" s="20" t="e">
        <f t="shared" si="44"/>
        <v>#DIV/0!</v>
      </c>
      <c r="BC41" s="20" t="e">
        <f t="shared" si="44"/>
        <v>#DIV/0!</v>
      </c>
      <c r="BD41" s="20" t="e">
        <f t="shared" si="44"/>
        <v>#DIV/0!</v>
      </c>
      <c r="BE41" s="20" t="e">
        <f t="shared" si="44"/>
        <v>#DIV/0!</v>
      </c>
      <c r="BF41" s="20" t="e">
        <f t="shared" si="44"/>
        <v>#DIV/0!</v>
      </c>
      <c r="BG41" s="21"/>
    </row>
    <row r="42" spans="2:59" s="10" customFormat="1" x14ac:dyDescent="0.25">
      <c r="B42" s="10" t="s">
        <v>29</v>
      </c>
      <c r="C42" s="11">
        <f>(C20-C23)/C20</f>
        <v>0.62841379310344825</v>
      </c>
      <c r="D42" s="11">
        <f t="shared" ref="D42:Z42" si="45">(D20-D23)/D20</f>
        <v>0.63781659388646283</v>
      </c>
      <c r="E42" s="11">
        <f t="shared" si="45"/>
        <v>0.64129201222173726</v>
      </c>
      <c r="F42" s="11">
        <f t="shared" si="45"/>
        <v>0.64119574774198707</v>
      </c>
      <c r="G42" s="11">
        <f t="shared" si="45"/>
        <v>0.64396382225717652</v>
      </c>
      <c r="H42" s="11">
        <f t="shared" si="45"/>
        <v>0.65373089601438417</v>
      </c>
      <c r="I42" s="11">
        <f t="shared" si="45"/>
        <v>0.67224080267558528</v>
      </c>
      <c r="J42" s="11">
        <f t="shared" si="45"/>
        <v>0.66925561894288266</v>
      </c>
      <c r="K42" s="11">
        <f t="shared" si="45"/>
        <v>0.6839667533785927</v>
      </c>
      <c r="L42" s="11">
        <f t="shared" si="45"/>
        <v>0.70072776758771671</v>
      </c>
      <c r="M42" s="11">
        <f t="shared" si="45"/>
        <v>0.69804414960539862</v>
      </c>
      <c r="N42" s="11">
        <f t="shared" si="45"/>
        <v>0.704765552333534</v>
      </c>
      <c r="O42" s="11">
        <f t="shared" si="45"/>
        <v>0.72366263578602175</v>
      </c>
      <c r="P42" s="11">
        <f t="shared" si="45"/>
        <v>0.72609858231168967</v>
      </c>
      <c r="Q42" s="11">
        <f t="shared" si="45"/>
        <v>0.71490512140379514</v>
      </c>
      <c r="R42" s="11">
        <f t="shared" si="45"/>
        <v>0.70481550969355844</v>
      </c>
      <c r="S42" s="11">
        <f t="shared" si="45"/>
        <v>0.70832129442357705</v>
      </c>
      <c r="T42" s="11">
        <f t="shared" si="45"/>
        <v>0.70990577318601422</v>
      </c>
      <c r="U42" s="11">
        <f t="shared" si="45"/>
        <v>0.70546363079243857</v>
      </c>
      <c r="V42" s="11">
        <f t="shared" si="45"/>
        <v>0.70937528009321504</v>
      </c>
      <c r="W42" s="11">
        <f t="shared" si="45"/>
        <v>0.728338452221309</v>
      </c>
      <c r="X42" s="11">
        <f t="shared" si="45"/>
        <v>0.74617672937528801</v>
      </c>
      <c r="Y42" s="11">
        <f t="shared" si="45"/>
        <v>0.73997439392062114</v>
      </c>
      <c r="Z42" s="11">
        <f t="shared" si="45"/>
        <v>0.74030914624379307</v>
      </c>
      <c r="AA42" s="21"/>
      <c r="AB42" s="21"/>
      <c r="AC42" s="21"/>
      <c r="AD42" s="21"/>
      <c r="AG42" s="11"/>
      <c r="AH42" s="11"/>
      <c r="AI42" s="11"/>
      <c r="AJ42" s="11"/>
      <c r="AK42" s="11"/>
      <c r="AL42" s="11"/>
      <c r="AM42" s="11"/>
      <c r="AN42" s="11"/>
      <c r="AO42" s="11">
        <f>(AO19-AO22)/AO19</f>
        <v>0.34396294836770025</v>
      </c>
      <c r="AP42" s="11">
        <f>(AP19-AP22)/AP19</f>
        <v>0.32207795851002652</v>
      </c>
      <c r="AQ42" s="11">
        <f t="shared" ref="AP42:BF42" si="46">(AQ19-AQ22)/AQ19</f>
        <v>0.31466339293399231</v>
      </c>
      <c r="AR42" s="11">
        <f t="shared" si="46"/>
        <v>0.35349303276483562</v>
      </c>
      <c r="AS42" s="11">
        <f t="shared" si="46"/>
        <v>0.36283479707399452</v>
      </c>
      <c r="AT42" s="11">
        <f t="shared" si="46"/>
        <v>0.36500662562691849</v>
      </c>
      <c r="AU42" s="11">
        <f t="shared" si="46"/>
        <v>0.37180617636485724</v>
      </c>
      <c r="AV42" s="20" t="e">
        <f t="shared" si="46"/>
        <v>#DIV/0!</v>
      </c>
      <c r="AW42" s="20" t="e">
        <f t="shared" si="46"/>
        <v>#DIV/0!</v>
      </c>
      <c r="AX42" s="20" t="e">
        <f t="shared" si="46"/>
        <v>#DIV/0!</v>
      </c>
      <c r="AY42" s="20" t="e">
        <f t="shared" si="46"/>
        <v>#DIV/0!</v>
      </c>
      <c r="AZ42" s="20" t="e">
        <f t="shared" si="46"/>
        <v>#DIV/0!</v>
      </c>
      <c r="BA42" s="20" t="e">
        <f t="shared" si="46"/>
        <v>#DIV/0!</v>
      </c>
      <c r="BB42" s="20" t="e">
        <f t="shared" si="46"/>
        <v>#DIV/0!</v>
      </c>
      <c r="BC42" s="20" t="e">
        <f t="shared" si="46"/>
        <v>#DIV/0!</v>
      </c>
      <c r="BD42" s="20" t="e">
        <f t="shared" si="46"/>
        <v>#DIV/0!</v>
      </c>
      <c r="BE42" s="20" t="e">
        <f t="shared" si="46"/>
        <v>#DIV/0!</v>
      </c>
      <c r="BF42" s="20" t="e">
        <f t="shared" si="46"/>
        <v>#DIV/0!</v>
      </c>
      <c r="BG42" s="21"/>
    </row>
    <row r="43" spans="2:59" x14ac:dyDescent="0.25">
      <c r="B43" t="s">
        <v>30</v>
      </c>
      <c r="C43" s="9">
        <f>(C21-C29)/C21</f>
        <v>0.62008065472660423</v>
      </c>
      <c r="D43" s="9">
        <f t="shared" ref="D43:Z43" si="47">(D21-D29)/D21</f>
        <v>0.62387313625786434</v>
      </c>
      <c r="E43" s="9">
        <f t="shared" si="47"/>
        <v>0.62409634076083931</v>
      </c>
      <c r="F43" s="9">
        <f t="shared" si="47"/>
        <v>0.63018718274111674</v>
      </c>
      <c r="G43" s="9">
        <f t="shared" si="47"/>
        <v>0.72152822400592465</v>
      </c>
      <c r="H43" s="9">
        <f t="shared" si="47"/>
        <v>0.77958602712945657</v>
      </c>
      <c r="I43" s="9">
        <f t="shared" si="47"/>
        <v>0.78066515875010467</v>
      </c>
      <c r="J43" s="9">
        <f t="shared" si="47"/>
        <v>0.77163127144579435</v>
      </c>
      <c r="K43" s="9">
        <f t="shared" si="47"/>
        <v>0.69908200899146622</v>
      </c>
      <c r="L43" s="9">
        <f t="shared" si="47"/>
        <v>0.69299205215217008</v>
      </c>
      <c r="M43" s="9">
        <f t="shared" si="47"/>
        <v>0.70373554043765507</v>
      </c>
      <c r="N43" s="9">
        <f t="shared" si="47"/>
        <v>0.7146593090211133</v>
      </c>
      <c r="O43" s="9">
        <f t="shared" si="47"/>
        <v>0.66527088628020492</v>
      </c>
      <c r="P43" s="9">
        <f t="shared" si="47"/>
        <v>0.69182137790661813</v>
      </c>
      <c r="Q43" s="9">
        <f t="shared" si="47"/>
        <v>0.72183849853542115</v>
      </c>
      <c r="R43" s="9">
        <f t="shared" si="47"/>
        <v>0.72384797994364702</v>
      </c>
      <c r="S43" s="9">
        <f t="shared" si="47"/>
        <v>0.69257558427369104</v>
      </c>
      <c r="T43" s="9">
        <f t="shared" si="47"/>
        <v>0.70140031211776122</v>
      </c>
      <c r="U43" s="9">
        <f t="shared" si="47"/>
        <v>0.71884054427423993</v>
      </c>
      <c r="V43" s="9">
        <f t="shared" si="47"/>
        <v>0.69866365728843105</v>
      </c>
      <c r="W43" s="9">
        <f t="shared" si="47"/>
        <v>0.66236253397449296</v>
      </c>
      <c r="X43" s="9">
        <f t="shared" si="47"/>
        <v>0.69257214637532638</v>
      </c>
      <c r="Y43" s="9">
        <f t="shared" si="47"/>
        <v>0.70444291593317554</v>
      </c>
      <c r="Z43" s="9">
        <f t="shared" si="47"/>
        <v>0.68828610555145897</v>
      </c>
      <c r="AA43" s="2"/>
      <c r="AB43" s="2"/>
      <c r="AC43" s="2"/>
      <c r="AD43" s="2"/>
      <c r="AG43" s="9">
        <f>(AG21-AG29)/AG21</f>
        <v>0.71812955155231895</v>
      </c>
      <c r="AH43" s="9">
        <f t="shared" ref="AH43:BF43" si="48">(AH21-AH29)/AH21</f>
        <v>0.68784931038623909</v>
      </c>
      <c r="AI43" s="9">
        <f t="shared" si="48"/>
        <v>0.64704040688015951</v>
      </c>
      <c r="AJ43" s="9">
        <f>(AJ21-AJ29)/AJ21</f>
        <v>0.71330524837633846</v>
      </c>
      <c r="AK43" s="9">
        <f t="shared" si="48"/>
        <v>0.71277660767526463</v>
      </c>
      <c r="AL43" s="9">
        <f t="shared" si="48"/>
        <v>0.69522709282673345</v>
      </c>
      <c r="AM43" s="9">
        <f t="shared" si="48"/>
        <v>0.72164589893293885</v>
      </c>
      <c r="AN43" s="9">
        <f t="shared" si="48"/>
        <v>0.73239571791270053</v>
      </c>
      <c r="AO43" s="9">
        <f t="shared" si="48"/>
        <v>0.73305973380522982</v>
      </c>
      <c r="AP43" s="9">
        <f t="shared" si="48"/>
        <v>0.75427982811503069</v>
      </c>
      <c r="AQ43" s="9">
        <f t="shared" si="48"/>
        <v>0.75852685645593132</v>
      </c>
      <c r="AR43" s="9">
        <f t="shared" si="48"/>
        <v>0.70217622472438401</v>
      </c>
      <c r="AS43" s="9">
        <f t="shared" si="48"/>
        <v>0.697112556044714</v>
      </c>
      <c r="AT43" s="9">
        <f t="shared" si="48"/>
        <v>0.70178587734975284</v>
      </c>
      <c r="AU43" s="9">
        <f t="shared" si="48"/>
        <v>0.68489777129924434</v>
      </c>
      <c r="AV43" s="19" t="e">
        <f t="shared" si="48"/>
        <v>#DIV/0!</v>
      </c>
      <c r="AW43" s="19" t="e">
        <f t="shared" si="48"/>
        <v>#DIV/0!</v>
      </c>
      <c r="AX43" s="19" t="e">
        <f t="shared" si="48"/>
        <v>#DIV/0!</v>
      </c>
      <c r="AY43" s="19" t="e">
        <f t="shared" si="48"/>
        <v>#DIV/0!</v>
      </c>
      <c r="AZ43" s="19" t="e">
        <f t="shared" si="48"/>
        <v>#DIV/0!</v>
      </c>
      <c r="BA43" s="19" t="e">
        <f t="shared" si="48"/>
        <v>#DIV/0!</v>
      </c>
      <c r="BB43" s="19" t="e">
        <f t="shared" si="48"/>
        <v>#DIV/0!</v>
      </c>
      <c r="BC43" s="19" t="e">
        <f t="shared" si="48"/>
        <v>#DIV/0!</v>
      </c>
      <c r="BD43" s="19" t="e">
        <f t="shared" si="48"/>
        <v>#DIV/0!</v>
      </c>
      <c r="BE43" s="19" t="e">
        <f t="shared" si="48"/>
        <v>#DIV/0!</v>
      </c>
      <c r="BF43" s="19" t="e">
        <f t="shared" si="48"/>
        <v>#DIV/0!</v>
      </c>
      <c r="BG43" s="2"/>
    </row>
    <row r="44" spans="2:59" x14ac:dyDescent="0.25">
      <c r="B44" t="s">
        <v>31</v>
      </c>
      <c r="C44" s="9">
        <f>C32/C31</f>
        <v>0</v>
      </c>
      <c r="D44" s="9">
        <f t="shared" ref="D44:Z44" si="49">D32/D31</f>
        <v>0</v>
      </c>
      <c r="E44" s="9">
        <f t="shared" si="49"/>
        <v>0</v>
      </c>
      <c r="F44" s="9">
        <f t="shared" si="49"/>
        <v>0</v>
      </c>
      <c r="G44" s="9">
        <f>G32/G31</f>
        <v>0.14206343082027933</v>
      </c>
      <c r="H44" s="9">
        <f t="shared" si="49"/>
        <v>0.14358583936048724</v>
      </c>
      <c r="I44" s="9">
        <f t="shared" si="49"/>
        <v>0.14341173783968944</v>
      </c>
      <c r="J44" s="9">
        <f t="shared" si="49"/>
        <v>0.14952016643178309</v>
      </c>
      <c r="K44" s="9">
        <f t="shared" si="49"/>
        <v>0.14366121683194855</v>
      </c>
      <c r="L44" s="9">
        <f t="shared" si="49"/>
        <v>0.1564028417407447</v>
      </c>
      <c r="M44" s="9">
        <f t="shared" si="49"/>
        <v>0.10771882309491568</v>
      </c>
      <c r="N44" s="9">
        <f t="shared" si="49"/>
        <v>0.11600997935306263</v>
      </c>
      <c r="O44" s="9">
        <f t="shared" si="49"/>
        <v>0.16030164157028201</v>
      </c>
      <c r="P44" s="9">
        <f t="shared" si="49"/>
        <v>0.17017817445834302</v>
      </c>
      <c r="Q44" s="9">
        <f t="shared" si="49"/>
        <v>0.15711436746726784</v>
      </c>
      <c r="R44" s="9">
        <f t="shared" si="49"/>
        <v>0.15963012531938192</v>
      </c>
      <c r="S44" s="9">
        <f t="shared" si="49"/>
        <v>0.15790360160570419</v>
      </c>
      <c r="T44" s="9">
        <f t="shared" si="49"/>
        <v>0.14875625396377987</v>
      </c>
      <c r="U44" s="9">
        <f t="shared" si="49"/>
        <v>0.12545638499098227</v>
      </c>
      <c r="V44" s="9">
        <f t="shared" si="49"/>
        <v>0.14971479368842136</v>
      </c>
      <c r="W44" s="9">
        <f t="shared" si="49"/>
        <v>0.15889194752374575</v>
      </c>
      <c r="X44" s="9">
        <f t="shared" si="49"/>
        <v>0.1576021099151757</v>
      </c>
      <c r="Y44" s="9">
        <f t="shared" si="49"/>
        <v>0.15870400878638111</v>
      </c>
      <c r="Z44" s="9">
        <f t="shared" si="49"/>
        <v>0.50233029381965555</v>
      </c>
      <c r="AA44" s="2"/>
      <c r="AB44" s="2"/>
      <c r="AC44" s="2"/>
      <c r="AD44" s="2"/>
      <c r="AG44" s="9">
        <f>AG32/AG31</f>
        <v>0.24417475728155341</v>
      </c>
      <c r="AH44" s="9">
        <f t="shared" ref="AH44:BF44" si="50">AH32/AH31</f>
        <v>0.24215757930127174</v>
      </c>
      <c r="AI44" s="9">
        <f t="shared" si="50"/>
        <v>0.25160052364471064</v>
      </c>
      <c r="AJ44" s="9">
        <f t="shared" si="50"/>
        <v>0.26154919748778788</v>
      </c>
      <c r="AK44" s="9">
        <f t="shared" si="50"/>
        <v>0.26126058747639436</v>
      </c>
      <c r="AL44" s="9">
        <f t="shared" si="50"/>
        <v>0.26368337585327173</v>
      </c>
      <c r="AM44" s="9">
        <f t="shared" si="50"/>
        <v>0.25557257381216192</v>
      </c>
      <c r="AN44" s="9">
        <f t="shared" si="50"/>
        <v>0.24556476150353415</v>
      </c>
      <c r="AO44" s="9">
        <f t="shared" si="50"/>
        <v>0.18342180705869443</v>
      </c>
      <c r="AP44" s="9">
        <f t="shared" si="50"/>
        <v>0.15943836804235059</v>
      </c>
      <c r="AQ44" s="9">
        <f t="shared" si="50"/>
        <v>0.14428164731484103</v>
      </c>
      <c r="AR44" s="9">
        <f t="shared" si="50"/>
        <v>0.13302260844085087</v>
      </c>
      <c r="AS44" s="9">
        <f t="shared" si="50"/>
        <v>0.16204461684424407</v>
      </c>
      <c r="AT44" s="9">
        <f t="shared" si="50"/>
        <v>0.14719174228036858</v>
      </c>
      <c r="AU44" s="9">
        <f t="shared" si="50"/>
        <v>0.24091185164189982</v>
      </c>
      <c r="AV44" s="19" t="e">
        <f t="shared" si="50"/>
        <v>#DIV/0!</v>
      </c>
      <c r="AW44" s="19" t="e">
        <f t="shared" si="50"/>
        <v>#DIV/0!</v>
      </c>
      <c r="AX44" s="19" t="e">
        <f t="shared" si="50"/>
        <v>#DIV/0!</v>
      </c>
      <c r="AY44" s="19" t="e">
        <f t="shared" si="50"/>
        <v>#DIV/0!</v>
      </c>
      <c r="AZ44" s="19" t="e">
        <f t="shared" si="50"/>
        <v>#DIV/0!</v>
      </c>
      <c r="BA44" s="19" t="e">
        <f t="shared" si="50"/>
        <v>#DIV/0!</v>
      </c>
      <c r="BB44" s="19" t="e">
        <f t="shared" si="50"/>
        <v>#DIV/0!</v>
      </c>
      <c r="BC44" s="19" t="e">
        <f t="shared" si="50"/>
        <v>#DIV/0!</v>
      </c>
      <c r="BD44" s="19" t="e">
        <f t="shared" si="50"/>
        <v>#DIV/0!</v>
      </c>
      <c r="BE44" s="19" t="e">
        <f t="shared" si="50"/>
        <v>#DIV/0!</v>
      </c>
      <c r="BF44" s="19" t="e">
        <f t="shared" si="50"/>
        <v>#DIV/0!</v>
      </c>
      <c r="BG44" s="2"/>
    </row>
    <row r="45" spans="2:59" x14ac:dyDescent="0.25">
      <c r="AA45" s="2"/>
      <c r="AB45" s="2"/>
      <c r="AC45" s="2"/>
      <c r="AD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2:59" x14ac:dyDescent="0.25">
      <c r="B46" t="s">
        <v>32</v>
      </c>
      <c r="AA46" s="2"/>
      <c r="AB46" s="2"/>
      <c r="AC46" s="2"/>
      <c r="AD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2:59" x14ac:dyDescent="0.25">
      <c r="AA47" s="2"/>
      <c r="AB47" s="2"/>
      <c r="AC47" s="2"/>
      <c r="AD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2:59" x14ac:dyDescent="0.25">
      <c r="B48" t="s">
        <v>33</v>
      </c>
      <c r="S48" s="2">
        <f>S49-S61</f>
        <v>54340</v>
      </c>
      <c r="T48" s="2">
        <f>T49-T61</f>
        <v>56718</v>
      </c>
      <c r="U48" s="2">
        <f>U49-U61</f>
        <v>57263</v>
      </c>
      <c r="V48" s="2">
        <f>V49-V61</f>
        <v>51011</v>
      </c>
      <c r="W48" s="2">
        <f>W49-W61</f>
        <v>64535</v>
      </c>
      <c r="X48" s="2">
        <f>X49-X61</f>
        <v>57747</v>
      </c>
      <c r="Y48" s="2">
        <f>Y49-Y61</f>
        <v>48967</v>
      </c>
      <c r="Z48" s="2">
        <f>Z49-Z61</f>
        <v>50021</v>
      </c>
      <c r="AA48" s="2"/>
      <c r="AB48" s="2"/>
      <c r="AC48" s="2"/>
      <c r="AD48" s="2"/>
      <c r="AO48" s="2">
        <f>AO49-AO61</f>
        <v>122617</v>
      </c>
      <c r="AP48" s="2">
        <f t="shared" ref="AP48:AU48" si="51">AP49-AP61</f>
        <v>97851</v>
      </c>
      <c r="AQ48" s="2">
        <f t="shared" si="51"/>
        <v>79394</v>
      </c>
      <c r="AR48" s="2">
        <f t="shared" si="51"/>
        <v>65797</v>
      </c>
      <c r="AS48" s="2">
        <f t="shared" si="51"/>
        <v>49040</v>
      </c>
      <c r="AT48" s="2">
        <f t="shared" si="51"/>
        <v>51011</v>
      </c>
      <c r="AU48" s="2">
        <f t="shared" si="51"/>
        <v>50021</v>
      </c>
      <c r="AV48" s="2">
        <f t="shared" ref="AV48" si="52">AV49-AV61</f>
        <v>0</v>
      </c>
      <c r="AW48" s="2">
        <f t="shared" ref="AW48" si="53">AW49-AW61</f>
        <v>0</v>
      </c>
      <c r="AX48" s="2">
        <f t="shared" ref="AX48" si="54">AX49-AX61</f>
        <v>0</v>
      </c>
      <c r="AY48" s="2">
        <f t="shared" ref="AY48" si="55">AY49-AY61</f>
        <v>0</v>
      </c>
      <c r="AZ48" s="2">
        <f t="shared" ref="AZ48" si="56">AZ49-AZ61</f>
        <v>0</v>
      </c>
      <c r="BA48" s="2">
        <f t="shared" ref="BA48" si="57">BA49-BA61</f>
        <v>0</v>
      </c>
      <c r="BB48" s="2">
        <f t="shared" ref="BB48" si="58">BB49-BB61</f>
        <v>0</v>
      </c>
      <c r="BC48" s="2">
        <f t="shared" ref="BC48" si="59">BC49-BC61</f>
        <v>0</v>
      </c>
      <c r="BD48" s="2">
        <f t="shared" ref="BD48" si="60">BD49-BD61</f>
        <v>0</v>
      </c>
      <c r="BE48" s="2">
        <f t="shared" ref="BE48" si="61">BE49-BE61</f>
        <v>0</v>
      </c>
      <c r="BF48" s="2">
        <f t="shared" ref="BF48" si="62">BF49-BF61</f>
        <v>0</v>
      </c>
      <c r="BG48" s="2"/>
    </row>
    <row r="49" spans="2:59" x14ac:dyDescent="0.25">
      <c r="B49" t="s">
        <v>34</v>
      </c>
      <c r="S49" s="2">
        <f>20535+30820+114095</f>
        <v>165450</v>
      </c>
      <c r="T49" s="2">
        <f>24687+31185+110461</f>
        <v>166333</v>
      </c>
      <c r="U49">
        <f>28408+34074+104061</f>
        <v>166543</v>
      </c>
      <c r="V49" s="2">
        <f>AT49</f>
        <v>162099</v>
      </c>
      <c r="W49">
        <f>40760+32340+99475</f>
        <v>172575</v>
      </c>
      <c r="X49">
        <f>32695+34455+95187</f>
        <v>162337</v>
      </c>
      <c r="Y49">
        <f>36236+22795+91240</f>
        <v>150271</v>
      </c>
      <c r="Z49" s="2">
        <f>AU49</f>
        <v>156650</v>
      </c>
      <c r="AA49" s="2"/>
      <c r="AB49" s="2"/>
      <c r="AC49" s="2"/>
      <c r="AD49" s="2"/>
      <c r="AO49" s="2">
        <f>25913+40388+170799</f>
        <v>237100</v>
      </c>
      <c r="AP49" s="2">
        <f>48844+51713+105341</f>
        <v>205898</v>
      </c>
      <c r="AQ49" s="2">
        <f>38016+52927+100887</f>
        <v>191830</v>
      </c>
      <c r="AR49" s="2">
        <f>34940+27699+127877</f>
        <v>190516</v>
      </c>
      <c r="AS49" s="2">
        <f>23646+24658+120805</f>
        <v>169109</v>
      </c>
      <c r="AT49" s="2">
        <f>29965+31590+100544</f>
        <v>162099</v>
      </c>
      <c r="AU49" s="2">
        <f>29943+35228+91479</f>
        <v>156650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2:59" x14ac:dyDescent="0.25">
      <c r="B50" t="s">
        <v>35</v>
      </c>
      <c r="S50" s="2">
        <v>23752</v>
      </c>
      <c r="T50" s="2">
        <v>17936</v>
      </c>
      <c r="U50" s="2">
        <v>19549</v>
      </c>
      <c r="V50" s="2">
        <f t="shared" ref="V50:V55" si="63">AT50</f>
        <v>29508</v>
      </c>
      <c r="W50" s="2">
        <v>23194</v>
      </c>
      <c r="X50" s="2">
        <v>21837</v>
      </c>
      <c r="Y50" s="2">
        <v>22795</v>
      </c>
      <c r="Z50" s="2">
        <f t="shared" ref="Z50:Z55" si="64">AU50</f>
        <v>33410</v>
      </c>
      <c r="AA50" s="2"/>
      <c r="AB50" s="2"/>
      <c r="AC50" s="2"/>
      <c r="AD50" s="2"/>
      <c r="AO50" s="2">
        <v>23186</v>
      </c>
      <c r="AP50" s="2">
        <v>22926</v>
      </c>
      <c r="AQ50" s="2">
        <v>16120</v>
      </c>
      <c r="AR50" s="2">
        <v>26278</v>
      </c>
      <c r="AS50" s="2">
        <v>28184</v>
      </c>
      <c r="AT50" s="2">
        <v>29508</v>
      </c>
      <c r="AU50" s="2">
        <v>33410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2:59" x14ac:dyDescent="0.25">
      <c r="B51" t="s">
        <v>36</v>
      </c>
      <c r="S51" s="2">
        <v>6820</v>
      </c>
      <c r="T51" s="2">
        <v>7482</v>
      </c>
      <c r="U51" s="2">
        <v>7351</v>
      </c>
      <c r="V51" s="2">
        <f t="shared" si="63"/>
        <v>6331</v>
      </c>
      <c r="W51" s="2">
        <v>6511</v>
      </c>
      <c r="X51" s="2">
        <v>6232</v>
      </c>
      <c r="Y51" s="2">
        <v>6165</v>
      </c>
      <c r="Z51" s="2">
        <f t="shared" si="64"/>
        <v>7286</v>
      </c>
      <c r="AA51" s="2"/>
      <c r="AB51" s="2"/>
      <c r="AC51" s="2"/>
      <c r="AD51" s="2"/>
      <c r="AO51" s="2">
        <v>3956</v>
      </c>
      <c r="AP51" s="2">
        <v>4106</v>
      </c>
      <c r="AQ51" s="2">
        <v>4061</v>
      </c>
      <c r="AR51" s="2">
        <v>6580</v>
      </c>
      <c r="AS51" s="2">
        <v>4946</v>
      </c>
      <c r="AT51" s="2">
        <v>6331</v>
      </c>
      <c r="AU51" s="2">
        <v>7286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2:59" x14ac:dyDescent="0.25">
      <c r="B52" t="s">
        <v>37</v>
      </c>
      <c r="S52" s="2">
        <v>30428</v>
      </c>
      <c r="T52" s="2">
        <v>17963</v>
      </c>
      <c r="U52" s="2">
        <v>19637</v>
      </c>
      <c r="V52" s="2">
        <f t="shared" si="63"/>
        <v>31477</v>
      </c>
      <c r="W52" s="2">
        <v>26908</v>
      </c>
      <c r="X52" s="2">
        <v>19313</v>
      </c>
      <c r="Y52" s="2">
        <v>20377</v>
      </c>
      <c r="Z52" s="2">
        <f t="shared" si="64"/>
        <v>32833</v>
      </c>
      <c r="AA52" s="2"/>
      <c r="AB52" s="2"/>
      <c r="AC52" s="2"/>
      <c r="AD52" s="2"/>
      <c r="AO52" s="2">
        <v>25809</v>
      </c>
      <c r="AP52" s="2">
        <v>22878</v>
      </c>
      <c r="AQ52" s="2">
        <v>21325</v>
      </c>
      <c r="AR52" s="2">
        <v>25228</v>
      </c>
      <c r="AS52" s="2">
        <v>32748</v>
      </c>
      <c r="AT52" s="2">
        <v>31477</v>
      </c>
      <c r="AU52" s="2">
        <v>32833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2:59" x14ac:dyDescent="0.25">
      <c r="B53" t="s">
        <v>38</v>
      </c>
      <c r="S53" s="2">
        <v>16422</v>
      </c>
      <c r="T53" s="2">
        <v>13660</v>
      </c>
      <c r="U53" s="2">
        <v>13640</v>
      </c>
      <c r="V53" s="2">
        <f t="shared" si="63"/>
        <v>14695</v>
      </c>
      <c r="W53" s="2">
        <v>13979</v>
      </c>
      <c r="X53" s="2">
        <v>13884</v>
      </c>
      <c r="Y53" s="2">
        <v>14297</v>
      </c>
      <c r="Z53" s="2">
        <f t="shared" si="64"/>
        <v>14287</v>
      </c>
      <c r="AA53" s="2"/>
      <c r="AB53" s="2"/>
      <c r="AC53" s="2"/>
      <c r="AD53" s="2"/>
      <c r="AO53" s="2">
        <v>12087</v>
      </c>
      <c r="AP53" s="2">
        <v>12352</v>
      </c>
      <c r="AQ53" s="2">
        <v>11264</v>
      </c>
      <c r="AR53" s="2">
        <v>14111</v>
      </c>
      <c r="AS53" s="2">
        <v>21223</v>
      </c>
      <c r="AT53" s="2">
        <v>14695</v>
      </c>
      <c r="AU53" s="2">
        <v>14287</v>
      </c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2:59" x14ac:dyDescent="0.25">
      <c r="B54" t="s">
        <v>39</v>
      </c>
      <c r="S54" s="2">
        <v>42951</v>
      </c>
      <c r="T54" s="2">
        <v>43398</v>
      </c>
      <c r="U54" s="2">
        <v>43550</v>
      </c>
      <c r="V54" s="2">
        <f t="shared" si="63"/>
        <v>43715</v>
      </c>
      <c r="W54" s="2">
        <v>43666</v>
      </c>
      <c r="X54" s="2">
        <v>43546</v>
      </c>
      <c r="Y54" s="2">
        <v>44502</v>
      </c>
      <c r="Z54" s="2">
        <f t="shared" si="64"/>
        <v>45680</v>
      </c>
      <c r="AA54" s="2"/>
      <c r="AB54" s="2"/>
      <c r="AC54" s="2"/>
      <c r="AD54" s="2"/>
      <c r="AO54" s="2">
        <v>41304</v>
      </c>
      <c r="AP54" s="2">
        <v>37378</v>
      </c>
      <c r="AQ54" s="2">
        <v>36766</v>
      </c>
      <c r="AR54" s="2">
        <v>39440</v>
      </c>
      <c r="AS54" s="2">
        <v>42117</v>
      </c>
      <c r="AT54" s="2">
        <v>43715</v>
      </c>
      <c r="AU54" s="2">
        <v>45680</v>
      </c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2:59" x14ac:dyDescent="0.25">
      <c r="B55" t="s">
        <v>40</v>
      </c>
      <c r="S55" s="2">
        <v>60924</v>
      </c>
      <c r="T55" s="2">
        <v>65388</v>
      </c>
      <c r="U55" s="2">
        <v>64768</v>
      </c>
      <c r="V55" s="2">
        <f t="shared" si="63"/>
        <v>64758</v>
      </c>
      <c r="W55" s="2">
        <v>66681</v>
      </c>
      <c r="X55" s="2">
        <v>70262</v>
      </c>
      <c r="Y55" s="2">
        <v>70435</v>
      </c>
      <c r="Z55" s="2">
        <f t="shared" si="64"/>
        <v>74834</v>
      </c>
      <c r="AA55" s="2"/>
      <c r="AB55" s="2"/>
      <c r="AC55" s="2"/>
      <c r="AD55" s="2"/>
      <c r="AO55" s="2">
        <v>22283</v>
      </c>
      <c r="AP55" s="2">
        <v>32978</v>
      </c>
      <c r="AQ55" s="2">
        <v>42522</v>
      </c>
      <c r="AR55" s="2">
        <v>48849</v>
      </c>
      <c r="AS55" s="2">
        <v>54428</v>
      </c>
      <c r="AT55" s="2">
        <v>64758</v>
      </c>
      <c r="AU55" s="2">
        <v>74834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2:59" x14ac:dyDescent="0.25">
      <c r="B56" t="s">
        <v>41</v>
      </c>
      <c r="S56" s="2">
        <f>SUM(S49:S55)</f>
        <v>346747</v>
      </c>
      <c r="T56" s="2">
        <f>SUM(T49:T55)</f>
        <v>332160</v>
      </c>
      <c r="U56" s="2">
        <f t="shared" ref="U56:Z56" si="65">SUM(U49:U55)</f>
        <v>335038</v>
      </c>
      <c r="V56" s="2">
        <f t="shared" si="65"/>
        <v>352583</v>
      </c>
      <c r="W56" s="2">
        <f t="shared" si="65"/>
        <v>353514</v>
      </c>
      <c r="X56" s="2">
        <f t="shared" si="65"/>
        <v>337411</v>
      </c>
      <c r="Y56" s="2">
        <f t="shared" si="65"/>
        <v>328842</v>
      </c>
      <c r="Z56" s="2">
        <f t="shared" si="65"/>
        <v>364980</v>
      </c>
      <c r="AA56" s="2"/>
      <c r="AB56" s="2"/>
      <c r="AC56" s="2"/>
      <c r="AD56" s="2"/>
      <c r="AO56" s="2">
        <f t="shared" ref="AO56" si="66">SUM(AO49:AO55)</f>
        <v>365725</v>
      </c>
      <c r="AP56" s="2">
        <f t="shared" ref="AP56" si="67">SUM(AP49:AP55)</f>
        <v>338516</v>
      </c>
      <c r="AQ56" s="2">
        <f t="shared" ref="AQ56" si="68">SUM(AQ49:AQ55)</f>
        <v>323888</v>
      </c>
      <c r="AR56" s="2">
        <f t="shared" ref="AR56" si="69">SUM(AR49:AR55)</f>
        <v>351002</v>
      </c>
      <c r="AS56" s="2">
        <f t="shared" ref="AS56" si="70">SUM(AS49:AS55)</f>
        <v>352755</v>
      </c>
      <c r="AT56" s="2">
        <f t="shared" ref="AT56" si="71">SUM(AT49:AT55)</f>
        <v>352583</v>
      </c>
      <c r="AU56" s="2">
        <f t="shared" ref="AU56" si="72">SUM(AU49:AU55)</f>
        <v>364980</v>
      </c>
      <c r="AV56" s="2">
        <f t="shared" ref="AV56" si="73">SUM(AV49:AV55)</f>
        <v>0</v>
      </c>
      <c r="AW56" s="2">
        <f t="shared" ref="AW56" si="74">SUM(AW49:AW55)</f>
        <v>0</v>
      </c>
      <c r="AX56" s="2">
        <f t="shared" ref="AX56" si="75">SUM(AX49:AX55)</f>
        <v>0</v>
      </c>
      <c r="AY56" s="2">
        <f t="shared" ref="AY56" si="76">SUM(AY49:AY55)</f>
        <v>0</v>
      </c>
      <c r="AZ56" s="2">
        <f t="shared" ref="AZ56" si="77">SUM(AZ49:AZ55)</f>
        <v>0</v>
      </c>
      <c r="BA56" s="2">
        <f t="shared" ref="BA56" si="78">SUM(BA49:BA55)</f>
        <v>0</v>
      </c>
      <c r="BB56" s="2">
        <f t="shared" ref="BB56" si="79">SUM(BB49:BB55)</f>
        <v>0</v>
      </c>
      <c r="BC56" s="2">
        <f t="shared" ref="BC56" si="80">SUM(BC49:BC55)</f>
        <v>0</v>
      </c>
      <c r="BD56" s="2">
        <f t="shared" ref="BD56" si="81">SUM(BD49:BD55)</f>
        <v>0</v>
      </c>
      <c r="BE56" s="2">
        <f t="shared" ref="BE56" si="82">SUM(BE49:BE55)</f>
        <v>0</v>
      </c>
      <c r="BF56" s="2">
        <f t="shared" ref="BF56" si="83">SUM(BF49:BF55)</f>
        <v>0</v>
      </c>
      <c r="BG56" s="2"/>
    </row>
    <row r="57" spans="2:59" x14ac:dyDescent="0.25">
      <c r="AA57" s="2"/>
      <c r="AB57" s="2"/>
      <c r="AC57" s="2"/>
      <c r="AD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2:59" x14ac:dyDescent="0.25">
      <c r="B58" t="s">
        <v>94</v>
      </c>
      <c r="S58" s="2">
        <v>57918</v>
      </c>
      <c r="T58" s="2">
        <v>42945</v>
      </c>
      <c r="U58" s="2">
        <v>46699</v>
      </c>
      <c r="V58" s="2">
        <f>AT58</f>
        <v>62611</v>
      </c>
      <c r="W58" s="2">
        <v>58146</v>
      </c>
      <c r="X58" s="2">
        <v>45753</v>
      </c>
      <c r="Y58" s="2">
        <v>47574</v>
      </c>
      <c r="Z58" s="2">
        <f>AU58</f>
        <v>68960</v>
      </c>
      <c r="AA58" s="2"/>
      <c r="AB58" s="2"/>
      <c r="AC58" s="2"/>
      <c r="AD58" s="2"/>
      <c r="AO58" s="2">
        <v>55888</v>
      </c>
      <c r="AP58" s="2">
        <v>46236</v>
      </c>
      <c r="AQ58" s="2">
        <v>42296</v>
      </c>
      <c r="AR58" s="2">
        <v>54763</v>
      </c>
      <c r="AS58" s="2">
        <v>64115</v>
      </c>
      <c r="AT58" s="2">
        <v>62611</v>
      </c>
      <c r="AU58" s="2">
        <v>68960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2:59" x14ac:dyDescent="0.25">
      <c r="B59" t="s">
        <v>93</v>
      </c>
      <c r="S59" s="2">
        <v>59893</v>
      </c>
      <c r="T59" s="2">
        <v>56425</v>
      </c>
      <c r="U59" s="2">
        <v>58897</v>
      </c>
      <c r="V59" s="2">
        <f t="shared" ref="V59:V63" si="84">AT59</f>
        <v>58829</v>
      </c>
      <c r="W59" s="2">
        <v>54611</v>
      </c>
      <c r="X59" s="2">
        <v>57298</v>
      </c>
      <c r="Y59" s="2">
        <v>60889</v>
      </c>
      <c r="Z59" s="2">
        <f t="shared" ref="Z59:Z63" si="85">AU59</f>
        <v>78304</v>
      </c>
      <c r="AA59" s="2"/>
      <c r="AB59" s="2"/>
      <c r="AC59" s="2"/>
      <c r="AD59" s="2"/>
      <c r="AO59" s="2">
        <v>32687</v>
      </c>
      <c r="AP59" s="2">
        <v>37720</v>
      </c>
      <c r="AQ59" s="2">
        <v>42684</v>
      </c>
      <c r="AR59" s="2">
        <v>47493</v>
      </c>
      <c r="AS59" s="2">
        <v>60845</v>
      </c>
      <c r="AT59" s="2">
        <v>58829</v>
      </c>
      <c r="AU59" s="2">
        <v>78304</v>
      </c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2:59" x14ac:dyDescent="0.25">
      <c r="B60" t="s">
        <v>42</v>
      </c>
      <c r="S60" s="2">
        <v>7992</v>
      </c>
      <c r="T60" s="2">
        <v>8131</v>
      </c>
      <c r="U60" s="2">
        <v>8158</v>
      </c>
      <c r="V60" s="2">
        <f t="shared" si="84"/>
        <v>8061</v>
      </c>
      <c r="W60" s="2">
        <v>8264</v>
      </c>
      <c r="X60" s="2">
        <v>8012</v>
      </c>
      <c r="Y60" s="2">
        <v>8053</v>
      </c>
      <c r="Z60" s="2">
        <f t="shared" si="85"/>
        <v>8249</v>
      </c>
      <c r="AA60" s="2"/>
      <c r="AB60" s="2"/>
      <c r="AC60" s="2"/>
      <c r="AD60" s="2"/>
      <c r="AO60" s="2">
        <f>7543+2797</f>
        <v>10340</v>
      </c>
      <c r="AP60" s="2">
        <f>5522</f>
        <v>5522</v>
      </c>
      <c r="AQ60" s="2">
        <v>6643</v>
      </c>
      <c r="AR60" s="2">
        <v>7612</v>
      </c>
      <c r="AS60" s="2">
        <v>7912</v>
      </c>
      <c r="AT60" s="2">
        <v>8061</v>
      </c>
      <c r="AU60" s="2">
        <v>8249</v>
      </c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2:59" x14ac:dyDescent="0.25">
      <c r="B61" t="s">
        <v>43</v>
      </c>
      <c r="S61" s="2">
        <f>1743+9740+99627</f>
        <v>111110</v>
      </c>
      <c r="T61" s="2">
        <f>1996+10578+97041</f>
        <v>109615</v>
      </c>
      <c r="U61" s="14">
        <f>3993+7216+98071</f>
        <v>109280</v>
      </c>
      <c r="V61" s="2">
        <f t="shared" si="84"/>
        <v>111088</v>
      </c>
      <c r="W61">
        <f>1998+10954+95088</f>
        <v>108040</v>
      </c>
      <c r="X61">
        <f>1997+10762+91831</f>
        <v>104590</v>
      </c>
      <c r="Y61">
        <f>2994+12114+86196</f>
        <v>101304</v>
      </c>
      <c r="Z61" s="2">
        <f t="shared" si="85"/>
        <v>106629</v>
      </c>
      <c r="AA61" s="2"/>
      <c r="AB61" s="2"/>
      <c r="AC61" s="2"/>
      <c r="AD61" s="2"/>
      <c r="AO61" s="2">
        <f>11964+8784+93735</f>
        <v>114483</v>
      </c>
      <c r="AP61" s="2">
        <f>5980+10260+91807</f>
        <v>108047</v>
      </c>
      <c r="AQ61" s="2">
        <f>4996+8773+98667</f>
        <v>112436</v>
      </c>
      <c r="AR61" s="2">
        <f>6000+9613+109106</f>
        <v>124719</v>
      </c>
      <c r="AS61" s="2">
        <f>9982+11128+98959</f>
        <v>120069</v>
      </c>
      <c r="AT61" s="2">
        <f>5985+9822+95281</f>
        <v>111088</v>
      </c>
      <c r="AU61" s="2">
        <f>9967+10912+85750</f>
        <v>106629</v>
      </c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2:59" x14ac:dyDescent="0.25">
      <c r="B62" t="s">
        <v>44</v>
      </c>
      <c r="S62" s="2">
        <v>53107</v>
      </c>
      <c r="T62" s="2">
        <v>52886</v>
      </c>
      <c r="U62" s="2">
        <v>51730</v>
      </c>
      <c r="V62" s="2">
        <f t="shared" si="84"/>
        <v>49848</v>
      </c>
      <c r="W62" s="2">
        <v>50353</v>
      </c>
      <c r="X62" s="2">
        <v>47564</v>
      </c>
      <c r="Y62" s="2">
        <v>47084</v>
      </c>
      <c r="Z62" s="2">
        <f t="shared" si="85"/>
        <v>45888</v>
      </c>
      <c r="AA62" s="2"/>
      <c r="AB62" s="2"/>
      <c r="AC62" s="2"/>
      <c r="AD62" s="2"/>
      <c r="AO62" s="2">
        <v>45180</v>
      </c>
      <c r="AP62" s="2">
        <v>50503</v>
      </c>
      <c r="AQ62" s="2">
        <v>54490</v>
      </c>
      <c r="AR62" s="2">
        <v>53325</v>
      </c>
      <c r="AS62" s="2">
        <v>49142</v>
      </c>
      <c r="AT62" s="2">
        <v>49848</v>
      </c>
      <c r="AU62" s="2">
        <v>45888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2:59" x14ac:dyDescent="0.25">
      <c r="B63" t="s">
        <v>45</v>
      </c>
      <c r="S63" s="2">
        <v>56727</v>
      </c>
      <c r="T63" s="2">
        <v>62158</v>
      </c>
      <c r="U63" s="2">
        <v>60274</v>
      </c>
      <c r="V63" s="2">
        <f t="shared" si="84"/>
        <v>62146</v>
      </c>
      <c r="W63" s="2">
        <v>74100</v>
      </c>
      <c r="X63" s="2">
        <v>74194</v>
      </c>
      <c r="Y63" s="2">
        <v>66708</v>
      </c>
      <c r="Z63" s="2">
        <f t="shared" si="85"/>
        <v>56950</v>
      </c>
      <c r="AA63" s="2"/>
      <c r="AB63" s="2"/>
      <c r="AC63" s="2"/>
      <c r="AD63" s="2"/>
      <c r="AO63" s="2">
        <v>107147</v>
      </c>
      <c r="AP63" s="2">
        <v>90488</v>
      </c>
      <c r="AQ63" s="2">
        <v>65339</v>
      </c>
      <c r="AR63" s="2">
        <v>63090</v>
      </c>
      <c r="AS63" s="2">
        <v>50672</v>
      </c>
      <c r="AT63" s="2">
        <v>62146</v>
      </c>
      <c r="AU63" s="2">
        <v>56950</v>
      </c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2:59" x14ac:dyDescent="0.25">
      <c r="B64" t="s">
        <v>46</v>
      </c>
      <c r="S64" s="2">
        <f>SUM(S58:S63)</f>
        <v>346747</v>
      </c>
      <c r="T64" s="2">
        <f>SUM(T58:T63)</f>
        <v>332160</v>
      </c>
      <c r="U64" s="2">
        <f>SUM(U58:U63)</f>
        <v>335038</v>
      </c>
      <c r="V64" s="2">
        <f>SUM(V58:V63)</f>
        <v>352583</v>
      </c>
      <c r="W64" s="2">
        <f>SUM(W58:W63)</f>
        <v>353514</v>
      </c>
      <c r="X64" s="2">
        <f>SUM(X58:X63)</f>
        <v>337411</v>
      </c>
      <c r="Y64" s="2">
        <f>SUM(Y58:Y63)</f>
        <v>331612</v>
      </c>
      <c r="Z64" s="2">
        <f>SUM(Z58:Z63)</f>
        <v>364980</v>
      </c>
      <c r="AA64" s="2"/>
      <c r="AB64" s="2"/>
      <c r="AC64" s="2"/>
      <c r="AD64" s="2"/>
      <c r="AO64" s="2">
        <f>SUM(AO58:AO63)</f>
        <v>365725</v>
      </c>
      <c r="AP64" s="2">
        <f t="shared" ref="AP64:AU64" si="86">SUM(AP58:AP63)</f>
        <v>338516</v>
      </c>
      <c r="AQ64" s="2">
        <f t="shared" si="86"/>
        <v>323888</v>
      </c>
      <c r="AR64" s="2">
        <f t="shared" si="86"/>
        <v>351002</v>
      </c>
      <c r="AS64" s="2">
        <f t="shared" si="86"/>
        <v>352755</v>
      </c>
      <c r="AT64" s="2">
        <f t="shared" si="86"/>
        <v>352583</v>
      </c>
      <c r="AU64" s="2">
        <f t="shared" si="86"/>
        <v>364980</v>
      </c>
      <c r="AV64" s="2">
        <f t="shared" ref="AV64" si="87">SUM(AV58:AV63)</f>
        <v>0</v>
      </c>
      <c r="AW64" s="2">
        <f t="shared" ref="AW64" si="88">SUM(AW58:AW63)</f>
        <v>0</v>
      </c>
      <c r="AX64" s="2">
        <f t="shared" ref="AX64" si="89">SUM(AX58:AX63)</f>
        <v>0</v>
      </c>
      <c r="AY64" s="2">
        <f t="shared" ref="AY64" si="90">SUM(AY58:AY63)</f>
        <v>0</v>
      </c>
      <c r="AZ64" s="2">
        <f t="shared" ref="AZ64" si="91">SUM(AZ58:AZ63)</f>
        <v>0</v>
      </c>
      <c r="BA64" s="2">
        <f t="shared" ref="BA64" si="92">SUM(BA58:BA63)</f>
        <v>0</v>
      </c>
      <c r="BB64" s="2">
        <f t="shared" ref="BB64" si="93">SUM(BB58:BB63)</f>
        <v>0</v>
      </c>
      <c r="BC64" s="2">
        <f t="shared" ref="BC64" si="94">SUM(BC58:BC63)</f>
        <v>0</v>
      </c>
      <c r="BD64" s="2">
        <f t="shared" ref="BD64" si="95">SUM(BD58:BD63)</f>
        <v>0</v>
      </c>
      <c r="BE64" s="2">
        <f t="shared" ref="BE64" si="96">SUM(BE58:BE63)</f>
        <v>0</v>
      </c>
      <c r="BF64" s="2">
        <f t="shared" ref="BF64" si="97">SUM(BF58:BF63)</f>
        <v>0</v>
      </c>
      <c r="BG64" s="2"/>
    </row>
    <row r="65" spans="2:59" x14ac:dyDescent="0.25">
      <c r="AA65" s="2"/>
      <c r="AB65" s="2"/>
      <c r="AC65" s="2"/>
      <c r="AD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2:59" x14ac:dyDescent="0.25">
      <c r="B66" t="s">
        <v>47</v>
      </c>
      <c r="S66" s="2">
        <f>S33</f>
        <v>29998</v>
      </c>
      <c r="T66" s="2">
        <f>T33</f>
        <v>24160</v>
      </c>
      <c r="U66" s="2">
        <f>U33</f>
        <v>19881</v>
      </c>
      <c r="V66" s="2">
        <f>V33</f>
        <v>22956</v>
      </c>
      <c r="W66" s="2">
        <f t="shared" ref="W66:Z66" si="98">W33</f>
        <v>33916</v>
      </c>
      <c r="X66" s="2">
        <f t="shared" si="98"/>
        <v>23636</v>
      </c>
      <c r="Y66" s="2">
        <f t="shared" si="98"/>
        <v>21448</v>
      </c>
      <c r="Z66" s="2">
        <f t="shared" si="98"/>
        <v>14736</v>
      </c>
      <c r="AA66" s="2"/>
      <c r="AB66" s="2"/>
      <c r="AC66" s="2"/>
      <c r="AD66" s="2"/>
      <c r="AO66" s="2">
        <f>AO33</f>
        <v>59531</v>
      </c>
      <c r="AP66" s="2">
        <f t="shared" ref="AP66:AU66" si="99">AP33</f>
        <v>55256</v>
      </c>
      <c r="AQ66" s="2">
        <f t="shared" si="99"/>
        <v>57411</v>
      </c>
      <c r="AR66" s="2">
        <f t="shared" si="99"/>
        <v>94680</v>
      </c>
      <c r="AS66" s="2">
        <f t="shared" si="99"/>
        <v>99803</v>
      </c>
      <c r="AT66" s="2">
        <f t="shared" si="99"/>
        <v>96995</v>
      </c>
      <c r="AU66" s="2">
        <f t="shared" si="99"/>
        <v>93736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2:59" x14ac:dyDescent="0.25">
      <c r="B67" t="s">
        <v>48</v>
      </c>
      <c r="S67" s="2">
        <v>29998</v>
      </c>
      <c r="T67" s="2">
        <f>54158-S67</f>
        <v>24160</v>
      </c>
      <c r="U67" s="2">
        <f>54158-T67</f>
        <v>29998</v>
      </c>
      <c r="V67" s="2">
        <f>54158-U67</f>
        <v>24160</v>
      </c>
      <c r="W67" s="2">
        <v>33916</v>
      </c>
      <c r="X67" s="2">
        <f>57552-W67</f>
        <v>23636</v>
      </c>
      <c r="Y67" s="2">
        <f>79000-X67-W67</f>
        <v>21448</v>
      </c>
      <c r="Z67" s="2">
        <f>AU67-Y67-X67-W67</f>
        <v>14736</v>
      </c>
      <c r="AA67" s="2"/>
      <c r="AB67" s="2"/>
      <c r="AC67" s="2"/>
      <c r="AD67" s="2"/>
      <c r="AO67" s="2">
        <v>59531</v>
      </c>
      <c r="AP67" s="2">
        <v>55256</v>
      </c>
      <c r="AQ67" s="2">
        <v>57411</v>
      </c>
      <c r="AR67" s="2">
        <v>94680</v>
      </c>
      <c r="AS67" s="2">
        <v>99803</v>
      </c>
      <c r="AT67" s="2">
        <v>96995</v>
      </c>
      <c r="AU67" s="2">
        <v>93736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2:59" x14ac:dyDescent="0.25">
      <c r="B68" t="s">
        <v>49</v>
      </c>
      <c r="S68" s="2">
        <v>2916</v>
      </c>
      <c r="T68" s="2">
        <f>5814-S68</f>
        <v>2898</v>
      </c>
      <c r="U68" s="2">
        <f>8866-T68</f>
        <v>5968</v>
      </c>
      <c r="V68" s="2">
        <f>AT68-U68</f>
        <v>5551</v>
      </c>
      <c r="W68">
        <v>2848</v>
      </c>
      <c r="X68">
        <f>5684-W68</f>
        <v>2836</v>
      </c>
      <c r="Y68">
        <f>8534-X68-W68</f>
        <v>2850</v>
      </c>
      <c r="Z68" s="2">
        <f t="shared" ref="Z68:Z71" si="100">AU68-Y68-X68-W68</f>
        <v>2911</v>
      </c>
      <c r="AA68" s="2"/>
      <c r="AB68" s="2"/>
      <c r="AC68" s="2"/>
      <c r="AD68" s="2"/>
      <c r="AO68" s="2">
        <v>10903</v>
      </c>
      <c r="AP68" s="2">
        <v>12547</v>
      </c>
      <c r="AQ68" s="2">
        <v>11056</v>
      </c>
      <c r="AR68" s="2">
        <v>11284</v>
      </c>
      <c r="AS68" s="2">
        <v>11104</v>
      </c>
      <c r="AT68" s="2">
        <v>11519</v>
      </c>
      <c r="AU68" s="2">
        <v>11445</v>
      </c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2:59" x14ac:dyDescent="0.25">
      <c r="B69" t="s">
        <v>50</v>
      </c>
      <c r="S69" s="2">
        <v>2905</v>
      </c>
      <c r="T69" s="2">
        <f>5591-S69</f>
        <v>2686</v>
      </c>
      <c r="U69" s="2">
        <f>8208-T69</f>
        <v>5522</v>
      </c>
      <c r="V69" s="2">
        <f t="shared" ref="V69:V71" si="101">AT69-U69</f>
        <v>5311</v>
      </c>
      <c r="W69">
        <v>2997</v>
      </c>
      <c r="X69">
        <f>5961-W69</f>
        <v>2964</v>
      </c>
      <c r="Y69">
        <f>8830-W69-X69</f>
        <v>2869</v>
      </c>
      <c r="Z69" s="2">
        <f t="shared" si="100"/>
        <v>2858</v>
      </c>
      <c r="AA69" s="2"/>
      <c r="AB69" s="2"/>
      <c r="AC69" s="2"/>
      <c r="AD69" s="2"/>
      <c r="AO69" s="2">
        <v>5340</v>
      </c>
      <c r="AP69" s="2">
        <v>6068</v>
      </c>
      <c r="AQ69" s="2">
        <v>6829</v>
      </c>
      <c r="AR69" s="2">
        <v>7906</v>
      </c>
      <c r="AS69" s="2">
        <v>9038</v>
      </c>
      <c r="AT69" s="2">
        <v>10833</v>
      </c>
      <c r="AU69" s="2">
        <v>11688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2:59" x14ac:dyDescent="0.25">
      <c r="B70" t="s">
        <v>51</v>
      </c>
      <c r="S70" s="2">
        <v>-317</v>
      </c>
      <c r="T70" s="2">
        <f>-1732-S70</f>
        <v>-1415</v>
      </c>
      <c r="U70" s="2">
        <f>-1651-T70</f>
        <v>-236</v>
      </c>
      <c r="V70" s="2">
        <f t="shared" si="101"/>
        <v>-2041</v>
      </c>
      <c r="W70">
        <v>-989</v>
      </c>
      <c r="X70">
        <f>-1971-W70</f>
        <v>-982</v>
      </c>
      <c r="Y70">
        <f>-1964-X70</f>
        <v>-982</v>
      </c>
      <c r="Z70" s="2">
        <f t="shared" si="100"/>
        <v>687</v>
      </c>
      <c r="AA70" s="2"/>
      <c r="AB70" s="2"/>
      <c r="AC70" s="2"/>
      <c r="AD70" s="2"/>
      <c r="AO70" s="2">
        <v>-444</v>
      </c>
      <c r="AP70" s="2">
        <v>-652</v>
      </c>
      <c r="AQ70" s="2">
        <v>-97</v>
      </c>
      <c r="AR70" s="2">
        <v>-147</v>
      </c>
      <c r="AS70" s="2">
        <v>111</v>
      </c>
      <c r="AT70" s="2">
        <v>-2277</v>
      </c>
      <c r="AU70" s="2">
        <v>-2266</v>
      </c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2:59" x14ac:dyDescent="0.25">
      <c r="B71" t="s">
        <v>52</v>
      </c>
      <c r="S71" s="2">
        <f>4275-1807+2320-4099-6075+131+3758</f>
        <v>-1497</v>
      </c>
      <c r="T71" s="2">
        <f>9596-2548+14785-4092-20764+1757-S71</f>
        <v>231</v>
      </c>
      <c r="U71" s="2">
        <f>19549-7351+19637-64768-46699+51730-T71</f>
        <v>-28133</v>
      </c>
      <c r="V71" s="2">
        <f t="shared" si="101"/>
        <v>21556</v>
      </c>
      <c r="W71">
        <f>6555+4569-137-1457-4542-3865</f>
        <v>1123</v>
      </c>
      <c r="X71">
        <f>7727+12164+53-4438-16710-3437-W71</f>
        <v>-5764</v>
      </c>
      <c r="Y71">
        <f>6697+11100+41-5626-15171+2-X71</f>
        <v>2807</v>
      </c>
      <c r="Z71" s="2">
        <f t="shared" si="100"/>
        <v>5485</v>
      </c>
      <c r="AA71" s="2"/>
      <c r="AB71" s="2"/>
      <c r="AC71" s="2"/>
      <c r="AD71" s="2"/>
      <c r="AO71" s="2">
        <f>-5322+828-8010-4236+9175+38490</f>
        <v>30925</v>
      </c>
      <c r="AP71" s="2">
        <f>245-289+2931+873-1923-4700</f>
        <v>-2863</v>
      </c>
      <c r="AQ71" s="2">
        <f>6917-127+1553-9588-4062+8916</f>
        <v>3609</v>
      </c>
      <c r="AR71" s="2">
        <f>-10125-2642-3903-8042+12326+5799-4774</f>
        <v>-11361</v>
      </c>
      <c r="AS71" s="2">
        <f>-1823+1481-7520-6499+9448+5632</f>
        <v>719</v>
      </c>
      <c r="AT71" s="2">
        <f>-1688+1271-1618-5684-1889+3031</f>
        <v>-6577</v>
      </c>
      <c r="AU71" s="2">
        <f>-3788-1356-1046-11731+6020+15552</f>
        <v>3651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2:59" x14ac:dyDescent="0.25">
      <c r="B72" t="s">
        <v>53</v>
      </c>
      <c r="S72" s="2">
        <f>SUM(S67:S71)</f>
        <v>34005</v>
      </c>
      <c r="T72" s="2">
        <f>SUM(T67:T71)</f>
        <v>28560</v>
      </c>
      <c r="U72" s="2">
        <f>SUM(U67:U71)</f>
        <v>13119</v>
      </c>
      <c r="V72" s="2">
        <f>SUM(V67:V71)</f>
        <v>54537</v>
      </c>
      <c r="W72" s="2">
        <f t="shared" ref="W72:Z72" si="102">SUM(W67:W71)</f>
        <v>39895</v>
      </c>
      <c r="X72" s="2">
        <f t="shared" si="102"/>
        <v>22690</v>
      </c>
      <c r="Y72" s="2">
        <f t="shared" si="102"/>
        <v>28992</v>
      </c>
      <c r="Z72" s="2">
        <f t="shared" si="102"/>
        <v>26677</v>
      </c>
      <c r="AA72" s="2"/>
      <c r="AB72" s="2"/>
      <c r="AC72" s="2"/>
      <c r="AD72" s="2"/>
      <c r="AO72" s="2">
        <f>SUM(AO67:AO71)</f>
        <v>106255</v>
      </c>
      <c r="AP72" s="2">
        <f t="shared" ref="AP72:AU72" si="103">SUM(AP67:AP71)</f>
        <v>70356</v>
      </c>
      <c r="AQ72" s="2">
        <f t="shared" si="103"/>
        <v>78808</v>
      </c>
      <c r="AR72" s="2">
        <f t="shared" si="103"/>
        <v>102362</v>
      </c>
      <c r="AS72" s="2">
        <f t="shared" si="103"/>
        <v>120775</v>
      </c>
      <c r="AT72" s="2">
        <f t="shared" si="103"/>
        <v>110493</v>
      </c>
      <c r="AU72" s="2">
        <f t="shared" si="103"/>
        <v>118254</v>
      </c>
      <c r="AV72" s="2">
        <f t="shared" ref="AV72" si="104">SUM(AV67:AV71)</f>
        <v>0</v>
      </c>
      <c r="AW72" s="2">
        <f t="shared" ref="AW72" si="105">SUM(AW67:AW71)</f>
        <v>0</v>
      </c>
      <c r="AX72" s="2">
        <f t="shared" ref="AX72" si="106">SUM(AX67:AX71)</f>
        <v>0</v>
      </c>
      <c r="AY72" s="2">
        <f t="shared" ref="AY72" si="107">SUM(AY67:AY71)</f>
        <v>0</v>
      </c>
      <c r="AZ72" s="2">
        <f t="shared" ref="AZ72" si="108">SUM(AZ67:AZ71)</f>
        <v>0</v>
      </c>
      <c r="BA72" s="2">
        <f t="shared" ref="BA72" si="109">SUM(BA67:BA71)</f>
        <v>0</v>
      </c>
      <c r="BB72" s="2">
        <f t="shared" ref="BB72" si="110">SUM(BB67:BB71)</f>
        <v>0</v>
      </c>
      <c r="BC72" s="2">
        <f t="shared" ref="BC72" si="111">SUM(BC67:BC71)</f>
        <v>0</v>
      </c>
      <c r="BD72" s="2">
        <f t="shared" ref="BD72" si="112">SUM(BD67:BD71)</f>
        <v>0</v>
      </c>
      <c r="BE72" s="2">
        <f t="shared" ref="BE72" si="113">SUM(BE67:BE71)</f>
        <v>0</v>
      </c>
      <c r="BF72" s="2">
        <f t="shared" ref="BF72" si="114">SUM(BF67:BF71)</f>
        <v>0</v>
      </c>
      <c r="BG72" s="2"/>
    </row>
    <row r="73" spans="2:59" x14ac:dyDescent="0.25">
      <c r="AA73" s="2"/>
      <c r="AB73" s="2"/>
      <c r="AC73" s="2"/>
      <c r="AD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2:59" x14ac:dyDescent="0.25">
      <c r="B74" t="s">
        <v>54</v>
      </c>
      <c r="S74" s="2">
        <f>-5153+7127+509</f>
        <v>2483</v>
      </c>
      <c r="T74" s="2">
        <f>-11197+17124+1897-S74</f>
        <v>5341</v>
      </c>
      <c r="U74" s="2">
        <f>-20956+27857+3959-T74</f>
        <v>5519</v>
      </c>
      <c r="V74" s="2">
        <f>AT74-U74</f>
        <v>10482</v>
      </c>
      <c r="W74">
        <f>-9780+13046+1337</f>
        <v>4603</v>
      </c>
      <c r="X74">
        <f>-25042+27462+4314-W74</f>
        <v>2131</v>
      </c>
      <c r="Y74">
        <f>-38074+39838+7382-X74-W74</f>
        <v>2412</v>
      </c>
      <c r="Z74" s="2">
        <f>AU74-W74-X74-Y74</f>
        <v>4544</v>
      </c>
      <c r="AA74" s="2"/>
      <c r="AB74" s="2"/>
      <c r="AC74" s="2"/>
      <c r="AD74" s="2"/>
      <c r="AO74" s="2">
        <f>-71356+55881+47838-1871+353</f>
        <v>30845</v>
      </c>
      <c r="AP74" s="2">
        <f>-39630+40102+56988-1001+1634</f>
        <v>58093</v>
      </c>
      <c r="AQ74" s="2">
        <f>-114938+69918+50473</f>
        <v>5453</v>
      </c>
      <c r="AR74" s="2">
        <f>-109558+59023+47460</f>
        <v>-3075</v>
      </c>
      <c r="AS74" s="2">
        <f>-76923+29917+37446</f>
        <v>-9560</v>
      </c>
      <c r="AT74" s="2">
        <f>-29513+39686+5828</f>
        <v>16001</v>
      </c>
      <c r="AU74" s="2">
        <f>-48656+51211+11135</f>
        <v>13690</v>
      </c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2:59" x14ac:dyDescent="0.25">
      <c r="B75" t="s">
        <v>55</v>
      </c>
      <c r="S75" s="2">
        <v>-3787</v>
      </c>
      <c r="T75" s="2">
        <f>-6703-S75</f>
        <v>-2916</v>
      </c>
      <c r="U75" s="2">
        <f>-8796-T75</f>
        <v>-5880</v>
      </c>
      <c r="V75" s="2">
        <f t="shared" ref="V75:V76" si="115">AT75-U75</f>
        <v>-5079</v>
      </c>
      <c r="W75">
        <v>2392</v>
      </c>
      <c r="X75">
        <f>-4388-W75</f>
        <v>-6780</v>
      </c>
      <c r="Y75">
        <f>-6539-W75-X75</f>
        <v>-2151</v>
      </c>
      <c r="Z75" s="2">
        <f t="shared" ref="Z75:Z76" si="116">AU75-W75-X75-Y75</f>
        <v>-2908</v>
      </c>
      <c r="AA75" s="2"/>
      <c r="AB75" s="2"/>
      <c r="AC75" s="2"/>
      <c r="AD75" s="2"/>
      <c r="AO75" s="2">
        <f>-13313-721</f>
        <v>-14034</v>
      </c>
      <c r="AP75" s="2">
        <f>-10495-624</f>
        <v>-11119</v>
      </c>
      <c r="AQ75" s="2">
        <f>-7309-1524-210+92</f>
        <v>-8951</v>
      </c>
      <c r="AR75" s="2">
        <f>-11085-33-131+387</f>
        <v>-10862</v>
      </c>
      <c r="AS75" s="2">
        <f>-10708-306</f>
        <v>-11014</v>
      </c>
      <c r="AT75" s="2">
        <v>-10959</v>
      </c>
      <c r="AU75" s="2">
        <v>-9447</v>
      </c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2:59" x14ac:dyDescent="0.25">
      <c r="B76" t="s">
        <v>51</v>
      </c>
      <c r="S76" s="2">
        <v>-141</v>
      </c>
      <c r="T76" s="2">
        <f>-247-S76</f>
        <v>-106</v>
      </c>
      <c r="U76" s="2">
        <f>-753-T76</f>
        <v>-647</v>
      </c>
      <c r="V76" s="2">
        <f t="shared" si="115"/>
        <v>-690</v>
      </c>
      <c r="W76">
        <v>-284</v>
      </c>
      <c r="X76">
        <f>-729-W76</f>
        <v>-445</v>
      </c>
      <c r="Y76">
        <f>-1117-W76-X76</f>
        <v>-388</v>
      </c>
      <c r="Z76" s="2">
        <f t="shared" si="116"/>
        <v>-191</v>
      </c>
      <c r="AA76" s="2"/>
      <c r="AB76" s="2"/>
      <c r="AC76" s="2"/>
      <c r="AD76" s="2"/>
      <c r="AO76" s="2">
        <v>-745</v>
      </c>
      <c r="AP76" s="2">
        <f>-1078</f>
        <v>-1078</v>
      </c>
      <c r="AQ76" s="2">
        <v>-791</v>
      </c>
      <c r="AR76" s="2">
        <v>-608</v>
      </c>
      <c r="AS76" s="2">
        <v>-1780</v>
      </c>
      <c r="AT76" s="2">
        <v>-1337</v>
      </c>
      <c r="AU76" s="2">
        <v>-1308</v>
      </c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2:59" x14ac:dyDescent="0.25">
      <c r="B77" t="s">
        <v>56</v>
      </c>
      <c r="S77" s="2">
        <f>SUM(S74:S76)</f>
        <v>-1445</v>
      </c>
      <c r="T77" s="2">
        <f>SUM(T74:T76)</f>
        <v>2319</v>
      </c>
      <c r="U77" s="2">
        <f>SUM(U74:U76)</f>
        <v>-1008</v>
      </c>
      <c r="V77" s="2">
        <f t="shared" ref="V77:Z77" si="117">SUM(V74:V76)</f>
        <v>4713</v>
      </c>
      <c r="W77" s="2">
        <f t="shared" si="117"/>
        <v>6711</v>
      </c>
      <c r="X77" s="2">
        <f t="shared" si="117"/>
        <v>-5094</v>
      </c>
      <c r="Y77" s="2">
        <f t="shared" si="117"/>
        <v>-127</v>
      </c>
      <c r="Z77" s="2">
        <f t="shared" si="117"/>
        <v>1445</v>
      </c>
      <c r="AA77" s="2"/>
      <c r="AB77" s="2"/>
      <c r="AC77" s="2"/>
      <c r="AD77" s="2"/>
      <c r="AO77" s="2">
        <f>SUM(AO74:AO76)</f>
        <v>16066</v>
      </c>
      <c r="AP77" s="2">
        <f t="shared" ref="AP77:AU77" si="118">SUM(AP74:AP76)</f>
        <v>45896</v>
      </c>
      <c r="AQ77" s="2">
        <f t="shared" si="118"/>
        <v>-4289</v>
      </c>
      <c r="AR77" s="2">
        <f t="shared" si="118"/>
        <v>-14545</v>
      </c>
      <c r="AS77" s="2">
        <f t="shared" si="118"/>
        <v>-22354</v>
      </c>
      <c r="AT77" s="2">
        <f t="shared" si="118"/>
        <v>3705</v>
      </c>
      <c r="AU77" s="2">
        <f t="shared" si="118"/>
        <v>2935</v>
      </c>
      <c r="AV77" s="2">
        <f t="shared" ref="AV77" si="119">SUM(AV74:AV76)</f>
        <v>0</v>
      </c>
      <c r="AW77" s="2">
        <f t="shared" ref="AW77" si="120">SUM(AW74:AW76)</f>
        <v>0</v>
      </c>
      <c r="AX77" s="2">
        <f t="shared" ref="AX77" si="121">SUM(AX74:AX76)</f>
        <v>0</v>
      </c>
      <c r="AY77" s="2">
        <f t="shared" ref="AY77" si="122">SUM(AY74:AY76)</f>
        <v>0</v>
      </c>
      <c r="AZ77" s="2">
        <f t="shared" ref="AZ77" si="123">SUM(AZ74:AZ76)</f>
        <v>0</v>
      </c>
      <c r="BA77" s="2">
        <f t="shared" ref="BA77" si="124">SUM(BA74:BA76)</f>
        <v>0</v>
      </c>
      <c r="BB77" s="2">
        <f t="shared" ref="BB77" si="125">SUM(BB74:BB76)</f>
        <v>0</v>
      </c>
      <c r="BC77" s="2">
        <f t="shared" ref="BC77" si="126">SUM(BC74:BC76)</f>
        <v>0</v>
      </c>
      <c r="BD77" s="2">
        <f t="shared" ref="BD77" si="127">SUM(BD74:BD76)</f>
        <v>0</v>
      </c>
      <c r="BE77" s="2">
        <f t="shared" ref="BE77" si="128">SUM(BE74:BE76)</f>
        <v>0</v>
      </c>
      <c r="BF77" s="2">
        <f t="shared" ref="BF77" si="129">SUM(BF74:BF76)</f>
        <v>0</v>
      </c>
      <c r="BG77" s="2"/>
    </row>
    <row r="78" spans="2:59" x14ac:dyDescent="0.25">
      <c r="AA78" s="2"/>
      <c r="AB78" s="2"/>
      <c r="AC78" s="2"/>
      <c r="AD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2:59" x14ac:dyDescent="0.25">
      <c r="B79" t="s">
        <v>57</v>
      </c>
      <c r="S79" s="2">
        <v>-2316</v>
      </c>
      <c r="T79" s="2">
        <f>-2734-S79</f>
        <v>-418</v>
      </c>
      <c r="U79" s="2">
        <f>-5119-T79</f>
        <v>-4701</v>
      </c>
      <c r="V79" s="2">
        <f>AT79-U79</f>
        <v>-730</v>
      </c>
      <c r="W79">
        <v>-2591</v>
      </c>
      <c r="X79">
        <f>-2875-W79</f>
        <v>-284</v>
      </c>
      <c r="Y79">
        <f>-5163-W79-X79</f>
        <v>-2288</v>
      </c>
      <c r="Z79" s="2">
        <f>AU79-X79-Y79</f>
        <v>-2869</v>
      </c>
      <c r="AA79" s="2"/>
      <c r="AB79" s="2"/>
      <c r="AC79" s="2"/>
      <c r="AD79" s="2"/>
      <c r="AO79" s="2">
        <f>669-2527</f>
        <v>-1858</v>
      </c>
      <c r="AP79" s="2">
        <v>-2817</v>
      </c>
      <c r="AQ79" s="2">
        <v>-3634</v>
      </c>
      <c r="AR79" s="2">
        <v>-6556</v>
      </c>
      <c r="AS79" s="2">
        <v>-6223</v>
      </c>
      <c r="AT79" s="2">
        <v>-5431</v>
      </c>
      <c r="AU79" s="2">
        <v>-5441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2:59" x14ac:dyDescent="0.25">
      <c r="B80" t="s">
        <v>58</v>
      </c>
      <c r="S80" s="2">
        <v>-3768</v>
      </c>
      <c r="T80" s="2">
        <f>-7418-S80</f>
        <v>-3650</v>
      </c>
      <c r="U80" s="2">
        <f>-11267-T80</f>
        <v>-7617</v>
      </c>
      <c r="V80" s="2">
        <f t="shared" ref="V80:V83" si="130">AT80-U80</f>
        <v>-7408</v>
      </c>
      <c r="W80">
        <v>-3825</v>
      </c>
      <c r="X80">
        <f>-7535-W80</f>
        <v>-3710</v>
      </c>
      <c r="Y80">
        <f>-11430-W80-X80</f>
        <v>-3895</v>
      </c>
      <c r="Z80" s="2">
        <f t="shared" ref="Z80:Z83" si="131">AU80-X80-Y80</f>
        <v>-7629</v>
      </c>
      <c r="AA80" s="2"/>
      <c r="AB80" s="2"/>
      <c r="AC80" s="2"/>
      <c r="AD80" s="2"/>
      <c r="AO80" s="2">
        <v>-13712</v>
      </c>
      <c r="AP80" s="2">
        <v>-14119</v>
      </c>
      <c r="AQ80" s="2">
        <v>-14081</v>
      </c>
      <c r="AR80" s="2">
        <v>-14467</v>
      </c>
      <c r="AS80" s="2">
        <v>-14841</v>
      </c>
      <c r="AT80" s="2">
        <v>-15025</v>
      </c>
      <c r="AU80" s="2">
        <v>-15234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2:59" x14ac:dyDescent="0.25">
      <c r="B81" t="s">
        <v>59</v>
      </c>
      <c r="S81" s="2">
        <v>-19475</v>
      </c>
      <c r="T81" s="2">
        <f>-39069-S81</f>
        <v>-19594</v>
      </c>
      <c r="U81" s="2">
        <f>-56547-T81</f>
        <v>-36953</v>
      </c>
      <c r="V81" s="2">
        <f t="shared" si="130"/>
        <v>-40597</v>
      </c>
      <c r="W81">
        <v>-20139</v>
      </c>
      <c r="X81">
        <f>-43344-W81</f>
        <v>-23205</v>
      </c>
      <c r="Y81">
        <f>-69866-W81-X81</f>
        <v>-26522</v>
      </c>
      <c r="Z81" s="2">
        <f t="shared" si="131"/>
        <v>-50222</v>
      </c>
      <c r="AA81" s="2"/>
      <c r="AB81" s="2"/>
      <c r="AC81" s="2"/>
      <c r="AD81" s="2"/>
      <c r="AO81" s="2">
        <v>-72738</v>
      </c>
      <c r="AP81" s="2">
        <f>-66897</f>
        <v>-66897</v>
      </c>
      <c r="AQ81" s="2">
        <v>-72358</v>
      </c>
      <c r="AR81" s="2">
        <v>-85971</v>
      </c>
      <c r="AS81" s="2">
        <f>-89402</f>
        <v>-89402</v>
      </c>
      <c r="AT81" s="2">
        <v>-77550</v>
      </c>
      <c r="AU81" s="2">
        <v>-99949</v>
      </c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2:59" x14ac:dyDescent="0.25">
      <c r="B82" t="s">
        <v>43</v>
      </c>
      <c r="S82" s="2">
        <f>-1401-8214</f>
        <v>-9615</v>
      </c>
      <c r="T82" s="2">
        <f>-3651-7960-S82</f>
        <v>-1996</v>
      </c>
      <c r="U82" s="2">
        <f>-11151-5971-T82</f>
        <v>-15126</v>
      </c>
      <c r="V82" s="2">
        <f t="shared" si="130"/>
        <v>-3</v>
      </c>
      <c r="W82">
        <v>-3984</v>
      </c>
      <c r="X82">
        <f>-3150-3982-W82</f>
        <v>-3148</v>
      </c>
      <c r="Y82">
        <f>-7400-2985-W82-X82</f>
        <v>-3253</v>
      </c>
      <c r="Z82" s="2">
        <f t="shared" si="131"/>
        <v>403</v>
      </c>
      <c r="AA82" s="2"/>
      <c r="AB82" s="2"/>
      <c r="AC82" s="2"/>
      <c r="AD82" s="2"/>
      <c r="AO82" s="2">
        <f>6969-6500</f>
        <v>469</v>
      </c>
      <c r="AP82" s="2">
        <f>-8805-5977</f>
        <v>-14782</v>
      </c>
      <c r="AQ82" s="2">
        <f>-12629-963</f>
        <v>-13592</v>
      </c>
      <c r="AR82" s="2">
        <f>-8750+1022</f>
        <v>-7728</v>
      </c>
      <c r="AS82" s="2">
        <f>-9543+3955</f>
        <v>-5588</v>
      </c>
      <c r="AT82" s="2">
        <f>-11151-3978</f>
        <v>-15129</v>
      </c>
      <c r="AU82" s="2">
        <f>-9958+3960</f>
        <v>-5998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2:59" x14ac:dyDescent="0.25">
      <c r="B83" t="s">
        <v>51</v>
      </c>
      <c r="S83" s="2">
        <v>-389</v>
      </c>
      <c r="T83" s="2">
        <f>-455-S83</f>
        <v>-66</v>
      </c>
      <c r="U83" s="2">
        <f>-508-T83</f>
        <v>-442</v>
      </c>
      <c r="V83" s="2">
        <f t="shared" si="130"/>
        <v>-139</v>
      </c>
      <c r="W83">
        <v>-46</v>
      </c>
      <c r="X83">
        <f>-132-W83</f>
        <v>-86</v>
      </c>
      <c r="Y83">
        <f>-191-W83-X83</f>
        <v>-59</v>
      </c>
      <c r="Z83" s="2">
        <f t="shared" si="131"/>
        <v>-216</v>
      </c>
      <c r="AA83" s="2"/>
      <c r="AB83" s="2"/>
      <c r="AC83" s="2"/>
      <c r="AD83" s="2"/>
      <c r="AO83" s="2">
        <v>-37</v>
      </c>
      <c r="AP83" s="2">
        <v>-105</v>
      </c>
      <c r="AQ83" s="2">
        <v>-126</v>
      </c>
      <c r="AR83" s="2">
        <v>-129</v>
      </c>
      <c r="AS83" s="2">
        <v>-160</v>
      </c>
      <c r="AT83" s="2">
        <v>-581</v>
      </c>
      <c r="AU83" s="2">
        <v>-361</v>
      </c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2:59" x14ac:dyDescent="0.25">
      <c r="B84" t="s">
        <v>60</v>
      </c>
      <c r="S84" s="2">
        <f>SUM(S79:S83)</f>
        <v>-35563</v>
      </c>
      <c r="T84" s="2">
        <f>SUM(T79:T83)</f>
        <v>-25724</v>
      </c>
      <c r="U84" s="2">
        <f t="shared" ref="U84:Z84" si="132">SUM(U79:U83)</f>
        <v>-64839</v>
      </c>
      <c r="V84" s="2">
        <f t="shared" si="132"/>
        <v>-48877</v>
      </c>
      <c r="W84" s="2">
        <f t="shared" si="132"/>
        <v>-30585</v>
      </c>
      <c r="X84" s="2">
        <f t="shared" si="132"/>
        <v>-30433</v>
      </c>
      <c r="Y84" s="2">
        <f t="shared" si="132"/>
        <v>-36017</v>
      </c>
      <c r="Z84" s="2">
        <f t="shared" si="132"/>
        <v>-60533</v>
      </c>
      <c r="AA84" s="2"/>
      <c r="AB84" s="2"/>
      <c r="AC84" s="2"/>
      <c r="AD84" s="2"/>
      <c r="AO84" s="2">
        <f>SUM(AO79:AO83)</f>
        <v>-87876</v>
      </c>
      <c r="AP84" s="2">
        <f t="shared" ref="AP84:AU84" si="133">SUM(AP79:AP83)</f>
        <v>-98720</v>
      </c>
      <c r="AQ84" s="2">
        <f>SUM(AQ79:AQ83)</f>
        <v>-103791</v>
      </c>
      <c r="AR84" s="2">
        <f t="shared" si="133"/>
        <v>-114851</v>
      </c>
      <c r="AS84" s="2">
        <f t="shared" si="133"/>
        <v>-116214</v>
      </c>
      <c r="AT84" s="2">
        <f t="shared" si="133"/>
        <v>-113716</v>
      </c>
      <c r="AU84" s="2">
        <f t="shared" si="133"/>
        <v>-126983</v>
      </c>
      <c r="AV84" s="2">
        <f t="shared" ref="AV84" si="134">SUM(AV79:AV83)</f>
        <v>0</v>
      </c>
      <c r="AW84" s="2">
        <f t="shared" ref="AW84" si="135">SUM(AW79:AW83)</f>
        <v>0</v>
      </c>
      <c r="AX84" s="2">
        <f t="shared" ref="AX84" si="136">SUM(AX79:AX83)</f>
        <v>0</v>
      </c>
      <c r="AY84" s="2">
        <f t="shared" ref="AY84" si="137">SUM(AY79:AY83)</f>
        <v>0</v>
      </c>
      <c r="AZ84" s="2">
        <f t="shared" ref="AZ84" si="138">SUM(AZ79:AZ83)</f>
        <v>0</v>
      </c>
      <c r="BA84" s="2">
        <f t="shared" ref="BA84" si="139">SUM(BA79:BA83)</f>
        <v>0</v>
      </c>
      <c r="BB84" s="2">
        <f t="shared" ref="BB84" si="140">SUM(BB79:BB83)</f>
        <v>0</v>
      </c>
      <c r="BC84" s="2">
        <f t="shared" ref="BC84" si="141">SUM(BC79:BC83)</f>
        <v>0</v>
      </c>
      <c r="BD84" s="2">
        <f t="shared" ref="BD84" si="142">SUM(BD79:BD83)</f>
        <v>0</v>
      </c>
      <c r="BE84" s="2">
        <f t="shared" ref="BE84" si="143">SUM(BE79:BE83)</f>
        <v>0</v>
      </c>
      <c r="BF84" s="2">
        <f t="shared" ref="BF84" si="144">SUM(BF79:BF83)</f>
        <v>0</v>
      </c>
      <c r="BG84" s="2"/>
    </row>
    <row r="85" spans="2:59" x14ac:dyDescent="0.25">
      <c r="AA85" s="2"/>
      <c r="AB85" s="2"/>
      <c r="AC85" s="2"/>
      <c r="AD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2:59" x14ac:dyDescent="0.25">
      <c r="B86" t="s">
        <v>61</v>
      </c>
      <c r="S86" s="2">
        <f>S84+S77+S72</f>
        <v>-3003</v>
      </c>
      <c r="T86" s="2">
        <f>T84+T77+T72</f>
        <v>5155</v>
      </c>
      <c r="U86" s="2">
        <f t="shared" ref="U86:Z86" si="145">U84+U77+U72</f>
        <v>-52728</v>
      </c>
      <c r="V86" s="2">
        <f t="shared" si="145"/>
        <v>10373</v>
      </c>
      <c r="W86" s="2">
        <f t="shared" si="145"/>
        <v>16021</v>
      </c>
      <c r="X86" s="2">
        <f t="shared" si="145"/>
        <v>-12837</v>
      </c>
      <c r="Y86" s="2">
        <f t="shared" si="145"/>
        <v>-7152</v>
      </c>
      <c r="Z86" s="2">
        <f t="shared" si="145"/>
        <v>-32411</v>
      </c>
      <c r="AA86" s="2"/>
      <c r="AB86" s="2"/>
      <c r="AC86" s="2"/>
      <c r="AD86" s="2"/>
      <c r="AO86" s="2">
        <f>AO84+AO77+AO72</f>
        <v>34445</v>
      </c>
      <c r="AP86" s="2">
        <f t="shared" ref="AP86:BF86" si="146">AP84+AP77+AP72</f>
        <v>17532</v>
      </c>
      <c r="AQ86" s="2">
        <f t="shared" si="146"/>
        <v>-29272</v>
      </c>
      <c r="AR86" s="2">
        <f t="shared" si="146"/>
        <v>-27034</v>
      </c>
      <c r="AS86" s="2">
        <f t="shared" si="146"/>
        <v>-17793</v>
      </c>
      <c r="AT86" s="2">
        <f t="shared" si="146"/>
        <v>482</v>
      </c>
      <c r="AU86" s="2">
        <f t="shared" si="146"/>
        <v>-5794</v>
      </c>
      <c r="AV86" s="2">
        <f t="shared" si="146"/>
        <v>0</v>
      </c>
      <c r="AW86" s="2">
        <f t="shared" si="146"/>
        <v>0</v>
      </c>
      <c r="AX86" s="2">
        <f t="shared" si="146"/>
        <v>0</v>
      </c>
      <c r="AY86" s="2">
        <f t="shared" si="146"/>
        <v>0</v>
      </c>
      <c r="AZ86" s="2">
        <f t="shared" si="146"/>
        <v>0</v>
      </c>
      <c r="BA86" s="2">
        <f t="shared" si="146"/>
        <v>0</v>
      </c>
      <c r="BB86" s="2">
        <f t="shared" si="146"/>
        <v>0</v>
      </c>
      <c r="BC86" s="2">
        <f t="shared" si="146"/>
        <v>0</v>
      </c>
      <c r="BD86" s="2">
        <f t="shared" si="146"/>
        <v>0</v>
      </c>
      <c r="BE86" s="2">
        <f t="shared" si="146"/>
        <v>0</v>
      </c>
      <c r="BF86" s="2">
        <f t="shared" si="146"/>
        <v>0</v>
      </c>
      <c r="BG86" s="2"/>
    </row>
    <row r="87" spans="2:59" x14ac:dyDescent="0.25">
      <c r="AA87" s="2"/>
      <c r="AB87" s="2"/>
      <c r="AC87" s="2"/>
      <c r="AD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2:59" s="1" customFormat="1" x14ac:dyDescent="0.25">
      <c r="B88" s="1" t="s">
        <v>96</v>
      </c>
      <c r="AA88" s="3"/>
      <c r="AB88" s="3"/>
      <c r="AC88" s="3"/>
      <c r="AD88" s="3"/>
      <c r="AO88" s="3">
        <f>+AO75+AO72</f>
        <v>92221</v>
      </c>
      <c r="AP88" s="3">
        <f t="shared" ref="AP88:BF88" si="147">+AP75+AP72</f>
        <v>59237</v>
      </c>
      <c r="AQ88" s="3">
        <f t="shared" si="147"/>
        <v>69857</v>
      </c>
      <c r="AR88" s="3">
        <f t="shared" si="147"/>
        <v>91500</v>
      </c>
      <c r="AS88" s="3">
        <f t="shared" si="147"/>
        <v>109761</v>
      </c>
      <c r="AT88" s="3">
        <f t="shared" si="147"/>
        <v>99534</v>
      </c>
      <c r="AU88" s="3">
        <f t="shared" si="147"/>
        <v>108807</v>
      </c>
      <c r="AV88" s="3">
        <f t="shared" si="147"/>
        <v>0</v>
      </c>
      <c r="AW88" s="3">
        <f t="shared" si="147"/>
        <v>0</v>
      </c>
      <c r="AX88" s="3">
        <f t="shared" si="147"/>
        <v>0</v>
      </c>
      <c r="AY88" s="3">
        <f t="shared" si="147"/>
        <v>0</v>
      </c>
      <c r="AZ88" s="3">
        <f t="shared" si="147"/>
        <v>0</v>
      </c>
      <c r="BA88" s="3">
        <f t="shared" si="147"/>
        <v>0</v>
      </c>
      <c r="BB88" s="3">
        <f t="shared" si="147"/>
        <v>0</v>
      </c>
      <c r="BC88" s="3">
        <f t="shared" si="147"/>
        <v>0</v>
      </c>
      <c r="BD88" s="3">
        <f t="shared" si="147"/>
        <v>0</v>
      </c>
      <c r="BE88" s="3">
        <f t="shared" si="147"/>
        <v>0</v>
      </c>
      <c r="BF88" s="3">
        <f t="shared" si="147"/>
        <v>0</v>
      </c>
      <c r="BG88" s="3"/>
    </row>
    <row r="89" spans="2:59" x14ac:dyDescent="0.25">
      <c r="AA89" s="2"/>
      <c r="AB89" s="2"/>
      <c r="AC89" s="2"/>
      <c r="AD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2:59" x14ac:dyDescent="0.25">
      <c r="AA90" s="2"/>
      <c r="AB90" s="2"/>
      <c r="AC90" s="2"/>
      <c r="AD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2:59" x14ac:dyDescent="0.25">
      <c r="AA91" s="2"/>
      <c r="AB91" s="2"/>
      <c r="AC91" s="2"/>
      <c r="AD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2:59" x14ac:dyDescent="0.25">
      <c r="AA92" s="2"/>
      <c r="AB92" s="2"/>
      <c r="AC92" s="2"/>
      <c r="AD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2:59" x14ac:dyDescent="0.25">
      <c r="AA93" s="2"/>
      <c r="AB93" s="2"/>
      <c r="AC93" s="2"/>
      <c r="AD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2:59" x14ac:dyDescent="0.25">
      <c r="AA94" s="2"/>
      <c r="AB94" s="2"/>
      <c r="AC94" s="2"/>
      <c r="AD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2:59" x14ac:dyDescent="0.25">
      <c r="AA95" s="2"/>
      <c r="AB95" s="2"/>
      <c r="AC95" s="2"/>
      <c r="AD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2:59" x14ac:dyDescent="0.25">
      <c r="AA96" s="2"/>
      <c r="AB96" s="2"/>
      <c r="AC96" s="2"/>
      <c r="AD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27:59" x14ac:dyDescent="0.25">
      <c r="AA97" s="2"/>
      <c r="AB97" s="2"/>
      <c r="AC97" s="2"/>
      <c r="AD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27:59" x14ac:dyDescent="0.25"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27:59" x14ac:dyDescent="0.25"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27:59" x14ac:dyDescent="0.25"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27:59" x14ac:dyDescent="0.25"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27:59" x14ac:dyDescent="0.25"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27:59" x14ac:dyDescent="0.25"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Assumptions</vt:lpstr>
      <vt:lpstr>WACC</vt:lpstr>
      <vt:lpstr>DCF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Dantas Jr</dc:creator>
  <cp:lastModifiedBy>Daniel Dantas Jr</cp:lastModifiedBy>
  <dcterms:created xsi:type="dcterms:W3CDTF">2024-11-29T16:39:35Z</dcterms:created>
  <dcterms:modified xsi:type="dcterms:W3CDTF">2024-12-17T20:22:10Z</dcterms:modified>
</cp:coreProperties>
</file>