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d300fcf58872a0/Investment Research/"/>
    </mc:Choice>
  </mc:AlternateContent>
  <xr:revisionPtr revIDLastSave="2821" documentId="8_{9435D481-8BF6-44AA-B66E-3C241767B967}" xr6:coauthVersionLast="47" xr6:coauthVersionMax="47" xr10:uidLastSave="{16F3A885-0E07-473F-8CAA-49489608B7F1}"/>
  <bookViews>
    <workbookView xWindow="345" yWindow="720" windowWidth="43425" windowHeight="29505" activeTab="3" xr2:uid="{8EBF3EEE-B1E3-4A3B-BB83-521C30573BE6}"/>
  </bookViews>
  <sheets>
    <sheet name="Info" sheetId="4" r:id="rId1"/>
    <sheet name="Asumptions" sheetId="5" r:id="rId2"/>
    <sheet name="FSM" sheetId="1" r:id="rId3"/>
    <sheet name="DCF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" l="1"/>
  <c r="H21" i="2"/>
  <c r="H19" i="2"/>
  <c r="M16" i="2"/>
  <c r="M15" i="2" s="1"/>
  <c r="C21" i="2"/>
  <c r="C24" i="2" s="1"/>
  <c r="C15" i="2"/>
  <c r="C12" i="2"/>
  <c r="S5" i="2"/>
  <c r="T5" i="2"/>
  <c r="U5" i="2"/>
  <c r="V5" i="2"/>
  <c r="R5" i="2"/>
  <c r="AV85" i="1"/>
  <c r="AW83" i="1"/>
  <c r="AX83" i="1"/>
  <c r="AY83" i="1"/>
  <c r="AZ83" i="1"/>
  <c r="AV83" i="1"/>
  <c r="AW39" i="1"/>
  <c r="AP61" i="1"/>
  <c r="AQ61" i="1"/>
  <c r="AR61" i="1"/>
  <c r="AS61" i="1"/>
  <c r="AT61" i="1"/>
  <c r="AU61" i="1"/>
  <c r="AV61" i="1"/>
  <c r="AX61" i="1"/>
  <c r="AY61" i="1"/>
  <c r="AZ61" i="1"/>
  <c r="AO61" i="1"/>
  <c r="AZ39" i="1"/>
  <c r="AY39" i="1"/>
  <c r="AX39" i="1"/>
  <c r="AV39" i="1"/>
  <c r="AV76" i="1"/>
  <c r="AW76" i="1" s="1"/>
  <c r="AX76" i="1" s="1"/>
  <c r="AY76" i="1" s="1"/>
  <c r="AZ76" i="1" s="1"/>
  <c r="AW72" i="1"/>
  <c r="AX72" i="1"/>
  <c r="AY72" i="1"/>
  <c r="AZ72" i="1"/>
  <c r="AV72" i="1"/>
  <c r="AW73" i="1"/>
  <c r="AX73" i="1" s="1"/>
  <c r="AY73" i="1" s="1"/>
  <c r="AV73" i="1"/>
  <c r="AV80" i="1"/>
  <c r="AW80" i="1" s="1"/>
  <c r="AX80" i="1" s="1"/>
  <c r="AW78" i="1"/>
  <c r="AX78" i="1"/>
  <c r="AY78" i="1"/>
  <c r="AZ78" i="1"/>
  <c r="AV78" i="1"/>
  <c r="AV57" i="1"/>
  <c r="AW57" i="1" s="1"/>
  <c r="AX57" i="1" s="1"/>
  <c r="AY57" i="1" s="1"/>
  <c r="AZ57" i="1" s="1"/>
  <c r="AV67" i="1"/>
  <c r="AW67" i="1" s="1"/>
  <c r="AX67" i="1" s="1"/>
  <c r="AY67" i="1" s="1"/>
  <c r="AZ67" i="1" s="1"/>
  <c r="AW65" i="1"/>
  <c r="AX65" i="1"/>
  <c r="AY65" i="1"/>
  <c r="AZ65" i="1"/>
  <c r="AV65" i="1"/>
  <c r="AV66" i="1"/>
  <c r="AP58" i="1"/>
  <c r="AQ58" i="1"/>
  <c r="AR58" i="1"/>
  <c r="AS58" i="1"/>
  <c r="AT58" i="1"/>
  <c r="AU58" i="1"/>
  <c r="V58" i="1"/>
  <c r="Z58" i="1"/>
  <c r="AO58" i="1"/>
  <c r="AV40" i="5"/>
  <c r="AV52" i="1"/>
  <c r="AW52" i="1" s="1"/>
  <c r="AX52" i="1" s="1"/>
  <c r="AY52" i="1" s="1"/>
  <c r="AZ52" i="1" s="1"/>
  <c r="AV50" i="1"/>
  <c r="AW50" i="1" s="1"/>
  <c r="AX50" i="1" s="1"/>
  <c r="AY50" i="1" s="1"/>
  <c r="AZ50" i="1" s="1"/>
  <c r="AV49" i="1"/>
  <c r="AW49" i="1" s="1"/>
  <c r="AX49" i="1" s="1"/>
  <c r="AY49" i="1" s="1"/>
  <c r="AZ49" i="1" s="1"/>
  <c r="AW35" i="5"/>
  <c r="AX35" i="5"/>
  <c r="AY35" i="5"/>
  <c r="AZ35" i="5"/>
  <c r="AV35" i="5"/>
  <c r="AV45" i="1"/>
  <c r="AW45" i="1" s="1"/>
  <c r="AV43" i="1"/>
  <c r="AW43" i="1" s="1"/>
  <c r="AX43" i="1" s="1"/>
  <c r="AY43" i="1" s="1"/>
  <c r="AZ43" i="1" s="1"/>
  <c r="AV42" i="1"/>
  <c r="AW42" i="1" s="1"/>
  <c r="AX42" i="1" s="1"/>
  <c r="AY42" i="1" s="1"/>
  <c r="AZ42" i="1" s="1"/>
  <c r="AV40" i="1"/>
  <c r="AW40" i="1" s="1"/>
  <c r="AX40" i="1" s="1"/>
  <c r="AY40" i="1" s="1"/>
  <c r="AZ40" i="1" s="1"/>
  <c r="AU37" i="5"/>
  <c r="AV34" i="5" s="1"/>
  <c r="AP37" i="5"/>
  <c r="AQ37" i="5"/>
  <c r="AR37" i="5"/>
  <c r="AS37" i="5"/>
  <c r="AT37" i="5"/>
  <c r="AO37" i="5"/>
  <c r="AW29" i="5"/>
  <c r="AX29" i="5"/>
  <c r="AY29" i="5"/>
  <c r="AZ29" i="5"/>
  <c r="AV29" i="5"/>
  <c r="AP31" i="5"/>
  <c r="AP29" i="5" s="1"/>
  <c r="AP30" i="5" s="1"/>
  <c r="AQ31" i="5"/>
  <c r="AQ29" i="5" s="1"/>
  <c r="AQ30" i="5" s="1"/>
  <c r="AR31" i="5"/>
  <c r="AR29" i="5" s="1"/>
  <c r="AR30" i="5" s="1"/>
  <c r="AS31" i="5"/>
  <c r="AS29" i="5" s="1"/>
  <c r="AS30" i="5" s="1"/>
  <c r="AT31" i="5"/>
  <c r="AT29" i="5" s="1"/>
  <c r="AT30" i="5" s="1"/>
  <c r="AU31" i="5"/>
  <c r="AU29" i="5" s="1"/>
  <c r="AU30" i="5" s="1"/>
  <c r="AO31" i="5"/>
  <c r="AO29" i="5" s="1"/>
  <c r="AO30" i="5" s="1"/>
  <c r="AV22" i="5"/>
  <c r="AW22" i="5" s="1"/>
  <c r="AX22" i="5" s="1"/>
  <c r="AY22" i="5" s="1"/>
  <c r="AZ22" i="5" s="1"/>
  <c r="AU26" i="5"/>
  <c r="AP24" i="5"/>
  <c r="AQ24" i="5"/>
  <c r="AR24" i="5"/>
  <c r="AS24" i="5"/>
  <c r="AT24" i="5"/>
  <c r="AU24" i="5"/>
  <c r="AV21" i="5" s="1"/>
  <c r="AO24" i="5"/>
  <c r="AO26" i="5"/>
  <c r="AV26" i="5" s="1"/>
  <c r="AW26" i="5" s="1"/>
  <c r="AX26" i="5" s="1"/>
  <c r="AY26" i="5" s="1"/>
  <c r="AZ26" i="5" s="1"/>
  <c r="AP26" i="5"/>
  <c r="AQ26" i="5"/>
  <c r="AR26" i="5"/>
  <c r="AS26" i="5"/>
  <c r="AT26" i="5"/>
  <c r="AV30" i="1"/>
  <c r="AB20" i="1"/>
  <c r="AB23" i="1" s="1"/>
  <c r="AC20" i="1"/>
  <c r="AC23" i="1" s="1"/>
  <c r="AA20" i="1"/>
  <c r="AA16" i="1"/>
  <c r="AB16" i="1"/>
  <c r="AC16" i="1"/>
  <c r="AA17" i="1"/>
  <c r="AB17" i="1"/>
  <c r="AC17" i="1"/>
  <c r="AB15" i="1"/>
  <c r="AC15" i="1"/>
  <c r="AA15" i="1"/>
  <c r="AC11" i="1"/>
  <c r="AC19" i="1" s="1"/>
  <c r="AC22" i="1" s="1"/>
  <c r="AC24" i="1" s="1"/>
  <c r="AB11" i="1"/>
  <c r="AB19" i="1" s="1"/>
  <c r="AB22" i="1" s="1"/>
  <c r="AB24" i="1" s="1"/>
  <c r="AA11" i="1"/>
  <c r="AC5" i="1"/>
  <c r="AB4" i="1"/>
  <c r="AC4" i="1"/>
  <c r="AB5" i="1"/>
  <c r="AB6" i="1"/>
  <c r="AC6" i="1"/>
  <c r="AB7" i="1"/>
  <c r="AC7" i="1"/>
  <c r="AB8" i="1"/>
  <c r="AC8" i="1"/>
  <c r="AA5" i="1"/>
  <c r="AA6" i="1"/>
  <c r="AA7" i="1"/>
  <c r="AA8" i="1"/>
  <c r="AA4" i="1"/>
  <c r="AR11" i="5"/>
  <c r="AQ11" i="5"/>
  <c r="AP11" i="5"/>
  <c r="AO11" i="5"/>
  <c r="Y11" i="5"/>
  <c r="X11" i="5"/>
  <c r="W11" i="5"/>
  <c r="U11" i="5"/>
  <c r="T11" i="5"/>
  <c r="S11" i="5"/>
  <c r="Q11" i="5"/>
  <c r="P11" i="5"/>
  <c r="O11" i="5"/>
  <c r="M11" i="5"/>
  <c r="L11" i="5"/>
  <c r="K11" i="5"/>
  <c r="I11" i="5"/>
  <c r="H11" i="5"/>
  <c r="G11" i="5"/>
  <c r="E11" i="5"/>
  <c r="D11" i="5"/>
  <c r="C11" i="5"/>
  <c r="AU10" i="5"/>
  <c r="AT10" i="5"/>
  <c r="AS10" i="5"/>
  <c r="AR10" i="5"/>
  <c r="AQ10" i="5"/>
  <c r="AP10" i="5"/>
  <c r="AO10" i="5"/>
  <c r="Y10" i="5"/>
  <c r="X10" i="5"/>
  <c r="W10" i="5"/>
  <c r="U10" i="5"/>
  <c r="T10" i="5"/>
  <c r="S10" i="5"/>
  <c r="Q10" i="5"/>
  <c r="P10" i="5"/>
  <c r="O10" i="5"/>
  <c r="M10" i="5"/>
  <c r="L10" i="5"/>
  <c r="K10" i="5"/>
  <c r="I10" i="5"/>
  <c r="H10" i="5"/>
  <c r="G10" i="5"/>
  <c r="E10" i="5"/>
  <c r="D10" i="5"/>
  <c r="C10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Y8" i="5"/>
  <c r="X8" i="5"/>
  <c r="W8" i="5"/>
  <c r="U8" i="5"/>
  <c r="T8" i="5"/>
  <c r="S8" i="5"/>
  <c r="Q8" i="5"/>
  <c r="P8" i="5"/>
  <c r="O8" i="5"/>
  <c r="M8" i="5"/>
  <c r="L8" i="5"/>
  <c r="K8" i="5"/>
  <c r="I8" i="5"/>
  <c r="H8" i="5"/>
  <c r="G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Y7" i="5"/>
  <c r="X7" i="5"/>
  <c r="W7" i="5"/>
  <c r="U7" i="5"/>
  <c r="T7" i="5"/>
  <c r="S7" i="5"/>
  <c r="R7" i="5"/>
  <c r="Q7" i="5"/>
  <c r="P7" i="5"/>
  <c r="O7" i="5"/>
  <c r="N7" i="5"/>
  <c r="M7" i="5"/>
  <c r="L7" i="5"/>
  <c r="K7" i="5"/>
  <c r="I7" i="5"/>
  <c r="H7" i="5"/>
  <c r="G7" i="5"/>
  <c r="M18" i="2"/>
  <c r="M19" i="2" s="1"/>
  <c r="AU28" i="1"/>
  <c r="X80" i="1"/>
  <c r="Y80" i="1" s="1"/>
  <c r="Z80" i="1" s="1"/>
  <c r="X79" i="1"/>
  <c r="Y79" i="1" s="1"/>
  <c r="X78" i="1"/>
  <c r="Y78" i="1" s="1"/>
  <c r="Z78" i="1" s="1"/>
  <c r="X77" i="1"/>
  <c r="Y77" i="1" s="1"/>
  <c r="X76" i="1"/>
  <c r="Y76" i="1" s="1"/>
  <c r="X73" i="1"/>
  <c r="Y73" i="1" s="1"/>
  <c r="X72" i="1"/>
  <c r="X67" i="1"/>
  <c r="Y67" i="1" s="1"/>
  <c r="Z67" i="1" s="1"/>
  <c r="X66" i="1"/>
  <c r="Y66" i="1" s="1"/>
  <c r="Z66" i="1" s="1"/>
  <c r="X65" i="1"/>
  <c r="Y65" i="1" s="1"/>
  <c r="Z65" i="1" s="1"/>
  <c r="X64" i="1"/>
  <c r="Y64" i="1" s="1"/>
  <c r="Z64" i="1" s="1"/>
  <c r="W71" i="1"/>
  <c r="W68" i="1"/>
  <c r="Z49" i="1"/>
  <c r="Z50" i="1"/>
  <c r="Z52" i="1"/>
  <c r="Z48" i="1"/>
  <c r="Z40" i="1"/>
  <c r="Z41" i="1"/>
  <c r="Z42" i="1"/>
  <c r="Z43" i="1"/>
  <c r="Z44" i="1"/>
  <c r="Z45" i="1"/>
  <c r="V49" i="1"/>
  <c r="V50" i="1"/>
  <c r="V52" i="1"/>
  <c r="V48" i="1"/>
  <c r="V40" i="1"/>
  <c r="V41" i="1"/>
  <c r="V42" i="1"/>
  <c r="V43" i="1"/>
  <c r="V44" i="1"/>
  <c r="V45" i="1"/>
  <c r="AU79" i="1"/>
  <c r="AU81" i="1" s="1"/>
  <c r="AU71" i="1"/>
  <c r="AU68" i="1"/>
  <c r="AT79" i="1"/>
  <c r="AT81" i="1" s="1"/>
  <c r="AT71" i="1"/>
  <c r="AT74" i="1" s="1"/>
  <c r="AT68" i="1"/>
  <c r="AT69" i="1" s="1"/>
  <c r="AT85" i="1" s="1"/>
  <c r="AU51" i="1"/>
  <c r="AU39" i="1"/>
  <c r="AT51" i="1"/>
  <c r="AT53" i="1" s="1"/>
  <c r="AT59" i="1" s="1"/>
  <c r="AT39" i="1"/>
  <c r="AS79" i="1"/>
  <c r="AS78" i="1"/>
  <c r="AS81" i="1" s="1"/>
  <c r="AS72" i="1"/>
  <c r="AS71" i="1"/>
  <c r="AS74" i="1" s="1"/>
  <c r="AS68" i="1"/>
  <c r="AS69" i="1" s="1"/>
  <c r="AR68" i="1"/>
  <c r="AR69" i="1" s="1"/>
  <c r="AQ68" i="1"/>
  <c r="AQ69" i="1" s="1"/>
  <c r="AS51" i="1"/>
  <c r="AS53" i="1" s="1"/>
  <c r="AS59" i="1" s="1"/>
  <c r="AS39" i="1"/>
  <c r="AR79" i="1"/>
  <c r="AR81" i="1" s="1"/>
  <c r="AR71" i="1"/>
  <c r="AQ71" i="1"/>
  <c r="AR72" i="1"/>
  <c r="AR51" i="1"/>
  <c r="AR53" i="1" s="1"/>
  <c r="AR59" i="1" s="1"/>
  <c r="AR39" i="1"/>
  <c r="AQ79" i="1"/>
  <c r="AQ81" i="1" s="1"/>
  <c r="AQ72" i="1"/>
  <c r="AQ51" i="1"/>
  <c r="AQ53" i="1" s="1"/>
  <c r="AQ59" i="1" s="1"/>
  <c r="AQ39" i="1"/>
  <c r="AP78" i="1"/>
  <c r="AP79" i="1"/>
  <c r="AP73" i="1"/>
  <c r="AP72" i="1"/>
  <c r="AP71" i="1"/>
  <c r="AP74" i="1" s="1"/>
  <c r="AP68" i="1"/>
  <c r="AP69" i="1" s="1"/>
  <c r="AO50" i="1"/>
  <c r="AO68" i="1"/>
  <c r="AO76" i="1"/>
  <c r="AO79" i="1"/>
  <c r="AO81" i="1"/>
  <c r="AO69" i="1"/>
  <c r="AO72" i="1"/>
  <c r="AO85" i="1" s="1"/>
  <c r="AO71" i="1"/>
  <c r="AO74" i="1"/>
  <c r="AP51" i="1"/>
  <c r="AP50" i="1"/>
  <c r="AP53" i="1" s="1"/>
  <c r="AP59" i="1" s="1"/>
  <c r="AP39" i="1"/>
  <c r="AP46" i="1"/>
  <c r="T64" i="1"/>
  <c r="U64" i="1" s="1"/>
  <c r="AO51" i="1"/>
  <c r="AO39" i="1"/>
  <c r="F17" i="1"/>
  <c r="F16" i="1"/>
  <c r="F15" i="1"/>
  <c r="F11" i="1"/>
  <c r="J7" i="5" s="1"/>
  <c r="Z17" i="1"/>
  <c r="AD17" i="1" s="1"/>
  <c r="Z16" i="1"/>
  <c r="AD16" i="1" s="1"/>
  <c r="Z15" i="1"/>
  <c r="AD15" i="1" s="1"/>
  <c r="AV15" i="1" s="1"/>
  <c r="AW15" i="1" s="1"/>
  <c r="AX15" i="1" s="1"/>
  <c r="AY15" i="1" s="1"/>
  <c r="AZ15" i="1" s="1"/>
  <c r="Z11" i="1"/>
  <c r="AD11" i="1" s="1"/>
  <c r="AV11" i="1" s="1"/>
  <c r="AW11" i="1" s="1"/>
  <c r="AX11" i="1" s="1"/>
  <c r="AY11" i="1" s="1"/>
  <c r="AZ11" i="1" s="1"/>
  <c r="V17" i="1"/>
  <c r="V16" i="1"/>
  <c r="V19" i="1"/>
  <c r="V15" i="1"/>
  <c r="V11" i="1"/>
  <c r="V7" i="5" s="1"/>
  <c r="P13" i="1"/>
  <c r="O13" i="1"/>
  <c r="N13" i="1"/>
  <c r="M13" i="1"/>
  <c r="Q13" i="1" s="1"/>
  <c r="Q12" i="1" s="1"/>
  <c r="L13" i="1"/>
  <c r="K13" i="1"/>
  <c r="J13" i="1"/>
  <c r="I13" i="1"/>
  <c r="H13" i="1"/>
  <c r="G13" i="1"/>
  <c r="W81" i="1"/>
  <c r="T67" i="1"/>
  <c r="U67" i="1" s="1"/>
  <c r="V67" i="1" s="1"/>
  <c r="T65" i="1"/>
  <c r="U65" i="1" s="1"/>
  <c r="V65" i="1" s="1"/>
  <c r="Y51" i="1"/>
  <c r="X51" i="1"/>
  <c r="W51" i="1"/>
  <c r="U51" i="1"/>
  <c r="U59" i="1"/>
  <c r="W59" i="1"/>
  <c r="X59" i="1"/>
  <c r="Y59" i="1"/>
  <c r="Y39" i="1"/>
  <c r="X39" i="1"/>
  <c r="W39" i="1"/>
  <c r="U39" i="1"/>
  <c r="Z5" i="1"/>
  <c r="AD5" i="1" s="1"/>
  <c r="Z6" i="1"/>
  <c r="AD6" i="1" s="1"/>
  <c r="Z7" i="1"/>
  <c r="AD7" i="1" s="1"/>
  <c r="Z8" i="1"/>
  <c r="AD8" i="1" s="1"/>
  <c r="AV8" i="1" s="1"/>
  <c r="AW8" i="1" s="1"/>
  <c r="AX8" i="1" s="1"/>
  <c r="AY8" i="1" s="1"/>
  <c r="AZ8" i="1" s="1"/>
  <c r="Z4" i="1"/>
  <c r="AD4" i="1" s="1"/>
  <c r="AV4" i="1" s="1"/>
  <c r="AW4" i="1" s="1"/>
  <c r="AX4" i="1" s="1"/>
  <c r="AY4" i="1" s="1"/>
  <c r="AZ4" i="1" s="1"/>
  <c r="V5" i="1"/>
  <c r="V6" i="1"/>
  <c r="V7" i="1"/>
  <c r="V8" i="1"/>
  <c r="V4" i="1"/>
  <c r="R5" i="1"/>
  <c r="R6" i="1"/>
  <c r="R7" i="1"/>
  <c r="R8" i="1"/>
  <c r="R4" i="1"/>
  <c r="N5" i="1"/>
  <c r="N6" i="1"/>
  <c r="N7" i="1"/>
  <c r="N8" i="1"/>
  <c r="N4" i="1"/>
  <c r="J5" i="1"/>
  <c r="J6" i="1"/>
  <c r="J7" i="1"/>
  <c r="J8" i="1"/>
  <c r="J4" i="1"/>
  <c r="F5" i="1"/>
  <c r="F6" i="1"/>
  <c r="F7" i="1"/>
  <c r="F8" i="1"/>
  <c r="F4" i="1"/>
  <c r="T80" i="1"/>
  <c r="U80" i="1" s="1"/>
  <c r="V80" i="1" s="1"/>
  <c r="S79" i="1"/>
  <c r="T78" i="1"/>
  <c r="U78" i="1" s="1"/>
  <c r="V78" i="1" s="1"/>
  <c r="T77" i="1"/>
  <c r="U77" i="1" s="1"/>
  <c r="V77" i="1" s="1"/>
  <c r="T76" i="1"/>
  <c r="U76" i="1" s="1"/>
  <c r="V76" i="1" s="1"/>
  <c r="T73" i="1"/>
  <c r="U73" i="1" s="1"/>
  <c r="V73" i="1" s="1"/>
  <c r="T72" i="1"/>
  <c r="S71" i="1"/>
  <c r="S68" i="1"/>
  <c r="T66" i="1"/>
  <c r="U66" i="1" s="1"/>
  <c r="V66" i="1" s="1"/>
  <c r="T51" i="1"/>
  <c r="S51" i="1"/>
  <c r="S59" i="1" s="1"/>
  <c r="T39" i="1"/>
  <c r="T46" i="1" s="1"/>
  <c r="S39" i="1"/>
  <c r="Z32" i="1"/>
  <c r="Z30" i="1"/>
  <c r="Z27" i="1"/>
  <c r="Z26" i="1"/>
  <c r="V32" i="1"/>
  <c r="V30" i="1"/>
  <c r="V27" i="1"/>
  <c r="V26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W28" i="1"/>
  <c r="X28" i="1"/>
  <c r="Y28" i="1"/>
  <c r="C28" i="1"/>
  <c r="AG28" i="1"/>
  <c r="Z23" i="1"/>
  <c r="Z22" i="1"/>
  <c r="Z24" i="1" s="1"/>
  <c r="AU12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V23" i="1"/>
  <c r="V22" i="1"/>
  <c r="F23" i="1"/>
  <c r="F22" i="1"/>
  <c r="F24" i="1" s="1"/>
  <c r="W24" i="1"/>
  <c r="D24" i="1"/>
  <c r="E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X24" i="1"/>
  <c r="Y24" i="1"/>
  <c r="C24" i="1"/>
  <c r="AP24" i="1"/>
  <c r="AQ24" i="1"/>
  <c r="AR24" i="1"/>
  <c r="AS24" i="1"/>
  <c r="AT24" i="1"/>
  <c r="AU24" i="1"/>
  <c r="AO24" i="1"/>
  <c r="AJ21" i="1"/>
  <c r="AI21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G13" i="1"/>
  <c r="AT19" i="1"/>
  <c r="AT11" i="5" s="1"/>
  <c r="AU19" i="1"/>
  <c r="AU11" i="5" s="1"/>
  <c r="AS19" i="1"/>
  <c r="AS11" i="5" s="1"/>
  <c r="AG17" i="1"/>
  <c r="AH21" i="1"/>
  <c r="AK21" i="1"/>
  <c r="AL21" i="1"/>
  <c r="AM21" i="1"/>
  <c r="AN21" i="1"/>
  <c r="AO21" i="1"/>
  <c r="AP21" i="1"/>
  <c r="AQ21" i="1"/>
  <c r="AR21" i="1"/>
  <c r="AG21" i="1"/>
  <c r="Z20" i="1"/>
  <c r="Z19" i="1"/>
  <c r="V20" i="1"/>
  <c r="R20" i="1"/>
  <c r="R19" i="1"/>
  <c r="N20" i="1"/>
  <c r="N19" i="1"/>
  <c r="J20" i="1"/>
  <c r="J19" i="1"/>
  <c r="J21" i="1" s="1"/>
  <c r="F20" i="1"/>
  <c r="F19" i="1"/>
  <c r="D21" i="1"/>
  <c r="E21" i="1"/>
  <c r="G21" i="1"/>
  <c r="H21" i="1"/>
  <c r="I21" i="1"/>
  <c r="K21" i="1"/>
  <c r="L21" i="1"/>
  <c r="M21" i="1"/>
  <c r="O21" i="1"/>
  <c r="O6" i="5" s="1"/>
  <c r="P21" i="1"/>
  <c r="P6" i="5" s="1"/>
  <c r="Q21" i="1"/>
  <c r="Q6" i="5" s="1"/>
  <c r="S21" i="1"/>
  <c r="S6" i="5" s="1"/>
  <c r="T21" i="1"/>
  <c r="T6" i="5" s="1"/>
  <c r="U21" i="1"/>
  <c r="U6" i="5" s="1"/>
  <c r="W21" i="1"/>
  <c r="W6" i="5" s="1"/>
  <c r="X21" i="1"/>
  <c r="X6" i="5" s="1"/>
  <c r="Y21" i="1"/>
  <c r="Y6" i="5" s="1"/>
  <c r="C21" i="1"/>
  <c r="C14" i="2" l="1"/>
  <c r="C17" i="2" s="1"/>
  <c r="C16" i="2"/>
  <c r="C23" i="2"/>
  <c r="AO53" i="1"/>
  <c r="AO59" i="1" s="1"/>
  <c r="AV55" i="1"/>
  <c r="AW66" i="1"/>
  <c r="AX66" i="1" s="1"/>
  <c r="AY66" i="1" s="1"/>
  <c r="AU74" i="1"/>
  <c r="AV71" i="1"/>
  <c r="AV51" i="1"/>
  <c r="AW51" i="1" s="1"/>
  <c r="AX51" i="1" s="1"/>
  <c r="AY51" i="1" s="1"/>
  <c r="AZ51" i="1" s="1"/>
  <c r="AU53" i="1"/>
  <c r="AU59" i="1" s="1"/>
  <c r="AZ73" i="1"/>
  <c r="AY80" i="1"/>
  <c r="AZ66" i="1"/>
  <c r="V8" i="5"/>
  <c r="AV37" i="5"/>
  <c r="T59" i="1"/>
  <c r="T38" i="1"/>
  <c r="AW23" i="5"/>
  <c r="AW31" i="5" s="1"/>
  <c r="AV23" i="5"/>
  <c r="AV24" i="5"/>
  <c r="AV31" i="5"/>
  <c r="AV7" i="1"/>
  <c r="AW7" i="1" s="1"/>
  <c r="AX7" i="1" s="1"/>
  <c r="AY7" i="1" s="1"/>
  <c r="AZ7" i="1" s="1"/>
  <c r="AV5" i="1"/>
  <c r="AW5" i="1" s="1"/>
  <c r="AX5" i="1" s="1"/>
  <c r="AY5" i="1" s="1"/>
  <c r="AZ5" i="1" s="1"/>
  <c r="AV6" i="1"/>
  <c r="AW6" i="1" s="1"/>
  <c r="AX6" i="1" s="1"/>
  <c r="AY6" i="1" s="1"/>
  <c r="AZ6" i="1" s="1"/>
  <c r="Z7" i="5"/>
  <c r="AP38" i="1"/>
  <c r="Z8" i="5"/>
  <c r="AD20" i="1"/>
  <c r="AV16" i="1"/>
  <c r="AW16" i="1" s="1"/>
  <c r="AX16" i="1" s="1"/>
  <c r="AY16" i="1" s="1"/>
  <c r="AZ16" i="1" s="1"/>
  <c r="AV17" i="1"/>
  <c r="AW17" i="1" s="1"/>
  <c r="AX17" i="1" s="1"/>
  <c r="AY17" i="1" s="1"/>
  <c r="AZ17" i="1" s="1"/>
  <c r="AA23" i="1"/>
  <c r="AD19" i="1"/>
  <c r="AD22" i="1" s="1"/>
  <c r="X68" i="1"/>
  <c r="Y68" i="1" s="1"/>
  <c r="Z68" i="1" s="1"/>
  <c r="W69" i="1"/>
  <c r="W85" i="1" s="1"/>
  <c r="AG14" i="5"/>
  <c r="AG13" i="5"/>
  <c r="R10" i="5"/>
  <c r="R11" i="5"/>
  <c r="R8" i="5"/>
  <c r="N11" i="5"/>
  <c r="N10" i="5"/>
  <c r="N8" i="5"/>
  <c r="J11" i="5"/>
  <c r="J8" i="5"/>
  <c r="J10" i="5"/>
  <c r="J14" i="5"/>
  <c r="J13" i="5"/>
  <c r="G14" i="5"/>
  <c r="G6" i="5"/>
  <c r="G13" i="5"/>
  <c r="H14" i="5"/>
  <c r="H13" i="5"/>
  <c r="H6" i="5"/>
  <c r="I14" i="5"/>
  <c r="I6" i="5"/>
  <c r="I13" i="5"/>
  <c r="K14" i="5"/>
  <c r="K13" i="5"/>
  <c r="K6" i="5"/>
  <c r="L14" i="5"/>
  <c r="L6" i="5"/>
  <c r="L13" i="5"/>
  <c r="M14" i="5"/>
  <c r="M13" i="5"/>
  <c r="M6" i="5"/>
  <c r="Z11" i="5"/>
  <c r="Z10" i="5"/>
  <c r="V11" i="5"/>
  <c r="V10" i="5"/>
  <c r="F10" i="5"/>
  <c r="F11" i="5"/>
  <c r="AJ13" i="5"/>
  <c r="AJ6" i="5"/>
  <c r="AJ14" i="5"/>
  <c r="AI14" i="5"/>
  <c r="AI13" i="5"/>
  <c r="AI6" i="5"/>
  <c r="AH14" i="5"/>
  <c r="AH13" i="5"/>
  <c r="AH6" i="5"/>
  <c r="AK14" i="5"/>
  <c r="AK6" i="5"/>
  <c r="AK13" i="5"/>
  <c r="AL13" i="5"/>
  <c r="AL6" i="5"/>
  <c r="AL14" i="5"/>
  <c r="AM13" i="5"/>
  <c r="AM6" i="5"/>
  <c r="AM14" i="5"/>
  <c r="AN6" i="5"/>
  <c r="AN13" i="5"/>
  <c r="AN14" i="5"/>
  <c r="AO6" i="5"/>
  <c r="AO13" i="5"/>
  <c r="AO14" i="5"/>
  <c r="AP14" i="5"/>
  <c r="AP6" i="5"/>
  <c r="AP13" i="5"/>
  <c r="AQ14" i="5"/>
  <c r="AQ13" i="5"/>
  <c r="AQ6" i="5"/>
  <c r="AR13" i="5"/>
  <c r="AR14" i="5"/>
  <c r="AR6" i="5"/>
  <c r="O14" i="5"/>
  <c r="O13" i="5"/>
  <c r="P13" i="5"/>
  <c r="P14" i="5"/>
  <c r="Q14" i="5"/>
  <c r="Q13" i="5"/>
  <c r="S13" i="5"/>
  <c r="S14" i="5"/>
  <c r="T14" i="5"/>
  <c r="T13" i="5"/>
  <c r="U14" i="5"/>
  <c r="U13" i="5"/>
  <c r="W14" i="5"/>
  <c r="W13" i="5"/>
  <c r="X13" i="5"/>
  <c r="X14" i="5"/>
  <c r="Y14" i="5"/>
  <c r="Y13" i="5"/>
  <c r="AV12" i="1"/>
  <c r="Z79" i="1"/>
  <c r="AR74" i="1"/>
  <c r="AR83" i="1" s="1"/>
  <c r="AQ74" i="1"/>
  <c r="AQ83" i="1" s="1"/>
  <c r="AP81" i="1"/>
  <c r="AP83" i="1" s="1"/>
  <c r="Z77" i="1"/>
  <c r="AP85" i="1"/>
  <c r="Z73" i="1"/>
  <c r="Z76" i="1"/>
  <c r="AS85" i="1"/>
  <c r="AQ85" i="1"/>
  <c r="AR85" i="1"/>
  <c r="Y72" i="1"/>
  <c r="AU69" i="1"/>
  <c r="Z51" i="1"/>
  <c r="Z59" i="1" s="1"/>
  <c r="Z39" i="1"/>
  <c r="AU38" i="1"/>
  <c r="AU46" i="1"/>
  <c r="V51" i="1"/>
  <c r="V59" i="1" s="1"/>
  <c r="V39" i="1"/>
  <c r="AT46" i="1"/>
  <c r="AT38" i="1"/>
  <c r="AS46" i="1"/>
  <c r="AS38" i="1"/>
  <c r="AR38" i="1"/>
  <c r="AR46" i="1"/>
  <c r="AQ38" i="1"/>
  <c r="AQ46" i="1"/>
  <c r="AO38" i="1"/>
  <c r="AO46" i="1"/>
  <c r="U72" i="1"/>
  <c r="Z28" i="1"/>
  <c r="O14" i="2"/>
  <c r="N14" i="2" s="1"/>
  <c r="Q14" i="2"/>
  <c r="R14" i="2" s="1"/>
  <c r="AB21" i="1"/>
  <c r="AA19" i="1"/>
  <c r="AC21" i="1"/>
  <c r="W74" i="1"/>
  <c r="X71" i="1"/>
  <c r="V64" i="1"/>
  <c r="Y46" i="1"/>
  <c r="Y38" i="1"/>
  <c r="X46" i="1"/>
  <c r="X38" i="1"/>
  <c r="W46" i="1"/>
  <c r="W38" i="1"/>
  <c r="U38" i="1"/>
  <c r="U46" i="1"/>
  <c r="T71" i="1"/>
  <c r="S74" i="1"/>
  <c r="T68" i="1"/>
  <c r="S69" i="1"/>
  <c r="S85" i="1" s="1"/>
  <c r="Y81" i="1"/>
  <c r="X81" i="1"/>
  <c r="AT83" i="1"/>
  <c r="AS83" i="1"/>
  <c r="AO83" i="1"/>
  <c r="X69" i="1"/>
  <c r="X85" i="1" s="1"/>
  <c r="D25" i="1"/>
  <c r="D9" i="5" s="1"/>
  <c r="E25" i="1"/>
  <c r="E9" i="5" s="1"/>
  <c r="C25" i="1"/>
  <c r="C9" i="5" s="1"/>
  <c r="AT21" i="1"/>
  <c r="AO25" i="1"/>
  <c r="AO9" i="5" s="1"/>
  <c r="AP25" i="1"/>
  <c r="AP9" i="5" s="1"/>
  <c r="AQ25" i="1"/>
  <c r="AQ9" i="5" s="1"/>
  <c r="AR25" i="1"/>
  <c r="AR9" i="5" s="1"/>
  <c r="S46" i="1"/>
  <c r="S38" i="1"/>
  <c r="AJ25" i="1"/>
  <c r="AJ9" i="5" s="1"/>
  <c r="AI25" i="1"/>
  <c r="AU21" i="1"/>
  <c r="AU25" i="1" s="1"/>
  <c r="AU9" i="5" s="1"/>
  <c r="AS21" i="1"/>
  <c r="AH25" i="1"/>
  <c r="AH9" i="5" s="1"/>
  <c r="AK25" i="1"/>
  <c r="AL25" i="1"/>
  <c r="AL9" i="5" s="1"/>
  <c r="AM25" i="1"/>
  <c r="AM9" i="5" s="1"/>
  <c r="AN25" i="1"/>
  <c r="AN9" i="5" s="1"/>
  <c r="AG25" i="1"/>
  <c r="AG9" i="5" s="1"/>
  <c r="J25" i="1"/>
  <c r="J9" i="5" s="1"/>
  <c r="G25" i="1"/>
  <c r="G9" i="5" s="1"/>
  <c r="H25" i="1"/>
  <c r="H9" i="5" s="1"/>
  <c r="I25" i="1"/>
  <c r="I9" i="5" s="1"/>
  <c r="K25" i="1"/>
  <c r="K9" i="5" s="1"/>
  <c r="L25" i="1"/>
  <c r="L9" i="5" s="1"/>
  <c r="M25" i="1"/>
  <c r="M9" i="5" s="1"/>
  <c r="O25" i="1"/>
  <c r="O9" i="5" s="1"/>
  <c r="P25" i="1"/>
  <c r="P9" i="5" s="1"/>
  <c r="Q25" i="1"/>
  <c r="Q9" i="5" s="1"/>
  <c r="S25" i="1"/>
  <c r="S9" i="5" s="1"/>
  <c r="T25" i="1"/>
  <c r="T9" i="5" s="1"/>
  <c r="U25" i="1"/>
  <c r="U9" i="5" s="1"/>
  <c r="W25" i="1"/>
  <c r="W9" i="5" s="1"/>
  <c r="X25" i="1"/>
  <c r="X9" i="5" s="1"/>
  <c r="Y25" i="1"/>
  <c r="Y9" i="5" s="1"/>
  <c r="S81" i="1"/>
  <c r="T79" i="1"/>
  <c r="V28" i="1"/>
  <c r="Z21" i="1"/>
  <c r="F21" i="1"/>
  <c r="V24" i="1"/>
  <c r="V21" i="1"/>
  <c r="R21" i="1"/>
  <c r="N21" i="1"/>
  <c r="C26" i="2" l="1"/>
  <c r="AW55" i="1"/>
  <c r="AV74" i="1"/>
  <c r="AW71" i="1"/>
  <c r="AU85" i="1"/>
  <c r="AU83" i="1"/>
  <c r="AZ80" i="1"/>
  <c r="AW34" i="5"/>
  <c r="AV36" i="5"/>
  <c r="AW37" i="5"/>
  <c r="AX45" i="1"/>
  <c r="S83" i="1"/>
  <c r="AW21" i="5"/>
  <c r="AW24" i="5" s="1"/>
  <c r="AW44" i="1" s="1"/>
  <c r="AV44" i="1"/>
  <c r="AX23" i="5"/>
  <c r="W83" i="1"/>
  <c r="AD23" i="1"/>
  <c r="AV20" i="1"/>
  <c r="AW20" i="1" s="1"/>
  <c r="AB26" i="1"/>
  <c r="AB27" i="1"/>
  <c r="AA21" i="1"/>
  <c r="AA22" i="1"/>
  <c r="AV19" i="1"/>
  <c r="AV21" i="1" s="1"/>
  <c r="AC27" i="1"/>
  <c r="AC26" i="1"/>
  <c r="Z81" i="1"/>
  <c r="AI9" i="5"/>
  <c r="AI29" i="1"/>
  <c r="AK9" i="5"/>
  <c r="AK29" i="1"/>
  <c r="U71" i="1"/>
  <c r="T74" i="1"/>
  <c r="AT13" i="5"/>
  <c r="AT6" i="5"/>
  <c r="AT14" i="5"/>
  <c r="AU6" i="5"/>
  <c r="AU13" i="5"/>
  <c r="AU14" i="5"/>
  <c r="AS25" i="1"/>
  <c r="AS6" i="5"/>
  <c r="AS13" i="5"/>
  <c r="AS14" i="5"/>
  <c r="Z6" i="5"/>
  <c r="Z14" i="5"/>
  <c r="Z13" i="5"/>
  <c r="J6" i="5"/>
  <c r="V6" i="5"/>
  <c r="V14" i="5"/>
  <c r="V13" i="5"/>
  <c r="R14" i="5"/>
  <c r="R6" i="5"/>
  <c r="R13" i="5"/>
  <c r="N6" i="5"/>
  <c r="N13" i="5"/>
  <c r="N14" i="5"/>
  <c r="AW19" i="1"/>
  <c r="AW12" i="1"/>
  <c r="AJ29" i="1"/>
  <c r="AH29" i="1"/>
  <c r="AH12" i="5" s="1"/>
  <c r="Z46" i="1"/>
  <c r="Z38" i="1"/>
  <c r="V38" i="1"/>
  <c r="V46" i="1"/>
  <c r="Z72" i="1"/>
  <c r="V72" i="1"/>
  <c r="AT25" i="1"/>
  <c r="AU29" i="1"/>
  <c r="AB25" i="1"/>
  <c r="AD21" i="1"/>
  <c r="AC25" i="1"/>
  <c r="X74" i="1"/>
  <c r="X83" i="1" s="1"/>
  <c r="Y71" i="1"/>
  <c r="U68" i="1"/>
  <c r="T69" i="1"/>
  <c r="T85" i="1" s="1"/>
  <c r="D29" i="1"/>
  <c r="D12" i="5" s="1"/>
  <c r="E29" i="1"/>
  <c r="E12" i="5" s="1"/>
  <c r="C29" i="1"/>
  <c r="C12" i="5" s="1"/>
  <c r="J29" i="1"/>
  <c r="J12" i="5" s="1"/>
  <c r="G29" i="1"/>
  <c r="G12" i="5" s="1"/>
  <c r="H29" i="1"/>
  <c r="H12" i="5" s="1"/>
  <c r="I29" i="1"/>
  <c r="I12" i="5" s="1"/>
  <c r="K29" i="1"/>
  <c r="K12" i="5" s="1"/>
  <c r="L29" i="1"/>
  <c r="L12" i="5" s="1"/>
  <c r="M29" i="1"/>
  <c r="M12" i="5" s="1"/>
  <c r="O29" i="1"/>
  <c r="O12" i="5" s="1"/>
  <c r="P29" i="1"/>
  <c r="P12" i="5" s="1"/>
  <c r="Q29" i="1"/>
  <c r="Q12" i="5" s="1"/>
  <c r="S29" i="1"/>
  <c r="S12" i="5" s="1"/>
  <c r="T29" i="1"/>
  <c r="T12" i="5" s="1"/>
  <c r="U29" i="1"/>
  <c r="U12" i="5" s="1"/>
  <c r="W29" i="1"/>
  <c r="W12" i="5" s="1"/>
  <c r="X29" i="1"/>
  <c r="X12" i="5" s="1"/>
  <c r="Y29" i="1"/>
  <c r="Y12" i="5" s="1"/>
  <c r="T81" i="1"/>
  <c r="U79" i="1"/>
  <c r="Y69" i="1"/>
  <c r="Y85" i="1" s="1"/>
  <c r="Z69" i="1"/>
  <c r="AL29" i="1"/>
  <c r="AM29" i="1"/>
  <c r="AN29" i="1"/>
  <c r="AN12" i="5" s="1"/>
  <c r="AO29" i="1"/>
  <c r="AO12" i="5" s="1"/>
  <c r="AP29" i="1"/>
  <c r="AP12" i="5" s="1"/>
  <c r="AQ29" i="1"/>
  <c r="AQ12" i="5" s="1"/>
  <c r="AR29" i="1"/>
  <c r="AR12" i="5" s="1"/>
  <c r="AG29" i="1"/>
  <c r="AG12" i="5" s="1"/>
  <c r="AH31" i="1"/>
  <c r="AH15" i="5" s="1"/>
  <c r="Z25" i="1"/>
  <c r="Z9" i="5" s="1"/>
  <c r="F25" i="1"/>
  <c r="F9" i="5" s="1"/>
  <c r="V25" i="1"/>
  <c r="V9" i="5" s="1"/>
  <c r="R25" i="1"/>
  <c r="R9" i="5" s="1"/>
  <c r="N25" i="1"/>
  <c r="N9" i="5" s="1"/>
  <c r="R8" i="2" l="1"/>
  <c r="S8" i="2"/>
  <c r="T8" i="2"/>
  <c r="U8" i="2"/>
  <c r="V8" i="2"/>
  <c r="H16" i="2"/>
  <c r="H17" i="2" s="1"/>
  <c r="AS9" i="5"/>
  <c r="AS29" i="1"/>
  <c r="AX55" i="1"/>
  <c r="AW74" i="1"/>
  <c r="AX71" i="1"/>
  <c r="AW23" i="1"/>
  <c r="AX20" i="1"/>
  <c r="AW36" i="5"/>
  <c r="AX34" i="5"/>
  <c r="AX37" i="5"/>
  <c r="AY45" i="1"/>
  <c r="AX21" i="5"/>
  <c r="AX24" i="5" s="1"/>
  <c r="AI12" i="5"/>
  <c r="AI31" i="1"/>
  <c r="AT9" i="5"/>
  <c r="AT29" i="1"/>
  <c r="AC28" i="1"/>
  <c r="AC29" i="1" s="1"/>
  <c r="AC31" i="1" s="1"/>
  <c r="AC32" i="1" s="1"/>
  <c r="AC33" i="1" s="1"/>
  <c r="AC34" i="1" s="1"/>
  <c r="AX31" i="5"/>
  <c r="AZ23" i="5"/>
  <c r="AZ31" i="5" s="1"/>
  <c r="AY23" i="5"/>
  <c r="AK12" i="5"/>
  <c r="AK31" i="1"/>
  <c r="AD24" i="1"/>
  <c r="AD25" i="1" s="1"/>
  <c r="AV23" i="1"/>
  <c r="AA26" i="1"/>
  <c r="AA27" i="1"/>
  <c r="AA24" i="1"/>
  <c r="AV22" i="1"/>
  <c r="AB28" i="1"/>
  <c r="AB29" i="1" s="1"/>
  <c r="AB31" i="1" s="1"/>
  <c r="AD26" i="1"/>
  <c r="AD27" i="1"/>
  <c r="T83" i="1"/>
  <c r="AU12" i="5"/>
  <c r="AU31" i="1"/>
  <c r="V71" i="1"/>
  <c r="V74" i="1" s="1"/>
  <c r="U74" i="1"/>
  <c r="AJ12" i="5"/>
  <c r="AJ31" i="1"/>
  <c r="AL12" i="5"/>
  <c r="AL31" i="1"/>
  <c r="AM12" i="5"/>
  <c r="AM31" i="1"/>
  <c r="AW21" i="1"/>
  <c r="AW22" i="1"/>
  <c r="AX12" i="1"/>
  <c r="AX19" i="1"/>
  <c r="Z85" i="1"/>
  <c r="U69" i="1"/>
  <c r="U85" i="1" s="1"/>
  <c r="V68" i="1"/>
  <c r="V69" i="1" s="1"/>
  <c r="V85" i="1" s="1"/>
  <c r="D31" i="1"/>
  <c r="D15" i="5" s="1"/>
  <c r="E31" i="1"/>
  <c r="E15" i="5" s="1"/>
  <c r="C31" i="1"/>
  <c r="C15" i="5" s="1"/>
  <c r="J31" i="1"/>
  <c r="J15" i="5" s="1"/>
  <c r="G31" i="1"/>
  <c r="G15" i="5" s="1"/>
  <c r="H31" i="1"/>
  <c r="H15" i="5" s="1"/>
  <c r="I31" i="1"/>
  <c r="I15" i="5" s="1"/>
  <c r="K31" i="1"/>
  <c r="K15" i="5" s="1"/>
  <c r="L31" i="1"/>
  <c r="L15" i="5" s="1"/>
  <c r="M31" i="1"/>
  <c r="M15" i="5" s="1"/>
  <c r="O31" i="1"/>
  <c r="O15" i="5" s="1"/>
  <c r="P31" i="1"/>
  <c r="P15" i="5" s="1"/>
  <c r="Q31" i="1"/>
  <c r="Q15" i="5" s="1"/>
  <c r="S31" i="1"/>
  <c r="S15" i="5" s="1"/>
  <c r="T31" i="1"/>
  <c r="T15" i="5" s="1"/>
  <c r="U31" i="1"/>
  <c r="U15" i="5" s="1"/>
  <c r="W31" i="1"/>
  <c r="W15" i="5" s="1"/>
  <c r="X31" i="1"/>
  <c r="X15" i="5" s="1"/>
  <c r="Y31" i="1"/>
  <c r="Y15" i="5" s="1"/>
  <c r="U81" i="1"/>
  <c r="V79" i="1"/>
  <c r="V81" i="1" s="1"/>
  <c r="Y74" i="1"/>
  <c r="Y83" i="1" s="1"/>
  <c r="Z71" i="1"/>
  <c r="Z74" i="1" s="1"/>
  <c r="Z83" i="1" s="1"/>
  <c r="Z29" i="1"/>
  <c r="Z12" i="5" s="1"/>
  <c r="F29" i="1"/>
  <c r="F12" i="5" s="1"/>
  <c r="R29" i="1"/>
  <c r="R12" i="5" s="1"/>
  <c r="N29" i="1"/>
  <c r="N12" i="5" s="1"/>
  <c r="V29" i="1"/>
  <c r="V12" i="5" s="1"/>
  <c r="AN31" i="1"/>
  <c r="AN15" i="5" s="1"/>
  <c r="AO31" i="1"/>
  <c r="AO15" i="5" s="1"/>
  <c r="AP31" i="1"/>
  <c r="AP15" i="5" s="1"/>
  <c r="AQ31" i="1"/>
  <c r="AQ15" i="5" s="1"/>
  <c r="AR31" i="1"/>
  <c r="AR15" i="5" s="1"/>
  <c r="AG31" i="1"/>
  <c r="AG15" i="5" s="1"/>
  <c r="AH33" i="1"/>
  <c r="AH34" i="1" s="1"/>
  <c r="H13" i="2" l="1"/>
  <c r="H18" i="2" s="1"/>
  <c r="AS12" i="5"/>
  <c r="AS31" i="1"/>
  <c r="AS15" i="5" s="1"/>
  <c r="AY55" i="1"/>
  <c r="AX74" i="1"/>
  <c r="AY71" i="1"/>
  <c r="AW24" i="1"/>
  <c r="AX23" i="1"/>
  <c r="AY20" i="1"/>
  <c r="AI15" i="5"/>
  <c r="AI33" i="1"/>
  <c r="AI34" i="1" s="1"/>
  <c r="AX36" i="5"/>
  <c r="AY34" i="5"/>
  <c r="AY37" i="5"/>
  <c r="AZ45" i="1"/>
  <c r="AZ37" i="5" s="1"/>
  <c r="AY21" i="5"/>
  <c r="AX44" i="1"/>
  <c r="AT12" i="5"/>
  <c r="AT31" i="1"/>
  <c r="AT15" i="5" s="1"/>
  <c r="AA25" i="1"/>
  <c r="AK15" i="5"/>
  <c r="AK33" i="1"/>
  <c r="AK34" i="1" s="1"/>
  <c r="AY24" i="5"/>
  <c r="AY31" i="5"/>
  <c r="AV26" i="1"/>
  <c r="AA28" i="1"/>
  <c r="AA29" i="1" s="1"/>
  <c r="AA31" i="1" s="1"/>
  <c r="AA32" i="1" s="1"/>
  <c r="AA33" i="1" s="1"/>
  <c r="AA34" i="1" s="1"/>
  <c r="AB32" i="1"/>
  <c r="AB33" i="1" s="1"/>
  <c r="AB34" i="1" s="1"/>
  <c r="AV27" i="1"/>
  <c r="AD28" i="1"/>
  <c r="AD29" i="1" s="1"/>
  <c r="AD31" i="1" s="1"/>
  <c r="AW25" i="1"/>
  <c r="AU15" i="5"/>
  <c r="AU33" i="1"/>
  <c r="AJ15" i="5"/>
  <c r="AJ33" i="1"/>
  <c r="AJ34" i="1" s="1"/>
  <c r="AL15" i="5"/>
  <c r="AL33" i="1"/>
  <c r="AL34" i="1" s="1"/>
  <c r="AM15" i="5"/>
  <c r="AM33" i="1"/>
  <c r="AM34" i="1" s="1"/>
  <c r="AY23" i="1"/>
  <c r="AZ20" i="1"/>
  <c r="AZ23" i="1" s="1"/>
  <c r="AW26" i="1"/>
  <c r="AW27" i="1"/>
  <c r="AX21" i="1"/>
  <c r="AX22" i="1"/>
  <c r="AX24" i="1" s="1"/>
  <c r="AY19" i="1"/>
  <c r="AY12" i="1"/>
  <c r="AS33" i="1"/>
  <c r="AV24" i="1"/>
  <c r="AV48" i="1" s="1"/>
  <c r="D33" i="1"/>
  <c r="E33" i="1"/>
  <c r="E34" i="1" s="1"/>
  <c r="C33" i="1"/>
  <c r="J33" i="1"/>
  <c r="J34" i="1" s="1"/>
  <c r="G33" i="1"/>
  <c r="G34" i="1" s="1"/>
  <c r="H33" i="1"/>
  <c r="H34" i="1" s="1"/>
  <c r="I33" i="1"/>
  <c r="I34" i="1" s="1"/>
  <c r="K33" i="1"/>
  <c r="K34" i="1" s="1"/>
  <c r="L33" i="1"/>
  <c r="L34" i="1" s="1"/>
  <c r="M33" i="1"/>
  <c r="M34" i="1" s="1"/>
  <c r="O33" i="1"/>
  <c r="O34" i="1" s="1"/>
  <c r="P33" i="1"/>
  <c r="P34" i="1" s="1"/>
  <c r="Q33" i="1"/>
  <c r="Q34" i="1" s="1"/>
  <c r="S33" i="1"/>
  <c r="T33" i="1"/>
  <c r="U33" i="1"/>
  <c r="W33" i="1"/>
  <c r="X33" i="1"/>
  <c r="Y33" i="1"/>
  <c r="Z31" i="1"/>
  <c r="Z15" i="5" s="1"/>
  <c r="F31" i="1"/>
  <c r="F15" i="5" s="1"/>
  <c r="R31" i="1"/>
  <c r="R15" i="5" s="1"/>
  <c r="N31" i="1"/>
  <c r="N15" i="5" s="1"/>
  <c r="U83" i="1"/>
  <c r="V83" i="1"/>
  <c r="V31" i="1"/>
  <c r="V15" i="5" s="1"/>
  <c r="AN33" i="1"/>
  <c r="AN34" i="1" s="1"/>
  <c r="AT33" i="1"/>
  <c r="AO33" i="1"/>
  <c r="AP33" i="1"/>
  <c r="AQ33" i="1"/>
  <c r="AR33" i="1"/>
  <c r="AG33" i="1"/>
  <c r="AG34" i="1" s="1"/>
  <c r="H20" i="2" l="1"/>
  <c r="H22" i="2" s="1"/>
  <c r="M14" i="2" s="1"/>
  <c r="H12" i="2"/>
  <c r="AZ55" i="1"/>
  <c r="AY74" i="1"/>
  <c r="AZ71" i="1"/>
  <c r="AZ74" i="1" s="1"/>
  <c r="AW48" i="1"/>
  <c r="AW53" i="1" s="1"/>
  <c r="AV53" i="1"/>
  <c r="AZ34" i="5"/>
  <c r="AZ36" i="5" s="1"/>
  <c r="AY36" i="5"/>
  <c r="AX48" i="1"/>
  <c r="AX53" i="1" s="1"/>
  <c r="AZ21" i="5"/>
  <c r="AZ24" i="5" s="1"/>
  <c r="AZ44" i="1" s="1"/>
  <c r="AY44" i="1"/>
  <c r="AV25" i="1"/>
  <c r="AV41" i="1"/>
  <c r="AW41" i="1" s="1"/>
  <c r="AU63" i="1"/>
  <c r="AU34" i="1"/>
  <c r="AS34" i="1"/>
  <c r="AS63" i="1"/>
  <c r="AD32" i="1"/>
  <c r="AX25" i="1"/>
  <c r="AX26" i="1"/>
  <c r="AX27" i="1"/>
  <c r="AW28" i="1"/>
  <c r="AW29" i="1" s="1"/>
  <c r="AV28" i="1"/>
  <c r="AV29" i="1" s="1"/>
  <c r="AY21" i="1"/>
  <c r="AY22" i="1"/>
  <c r="AY24" i="1" s="1"/>
  <c r="AY25" i="1" s="1"/>
  <c r="AZ12" i="1"/>
  <c r="AZ19" i="1"/>
  <c r="S63" i="1"/>
  <c r="S34" i="1"/>
  <c r="T63" i="1"/>
  <c r="T34" i="1"/>
  <c r="U63" i="1"/>
  <c r="U34" i="1"/>
  <c r="W63" i="1"/>
  <c r="W34" i="1"/>
  <c r="X63" i="1"/>
  <c r="X34" i="1"/>
  <c r="Y63" i="1"/>
  <c r="Y34" i="1"/>
  <c r="Z33" i="1"/>
  <c r="F33" i="1"/>
  <c r="F34" i="1" s="1"/>
  <c r="R33" i="1"/>
  <c r="R34" i="1" s="1"/>
  <c r="N33" i="1"/>
  <c r="N34" i="1" s="1"/>
  <c r="AT34" i="1"/>
  <c r="AT63" i="1"/>
  <c r="AO34" i="1"/>
  <c r="AO63" i="1"/>
  <c r="AP34" i="1"/>
  <c r="AP63" i="1"/>
  <c r="AQ34" i="1"/>
  <c r="AQ63" i="1"/>
  <c r="AR34" i="1"/>
  <c r="AR63" i="1"/>
  <c r="V33" i="1"/>
  <c r="AY48" i="1" l="1"/>
  <c r="AY53" i="1" s="1"/>
  <c r="AV32" i="1"/>
  <c r="AD33" i="1"/>
  <c r="AD34" i="1" s="1"/>
  <c r="AW12" i="5"/>
  <c r="AW31" i="1"/>
  <c r="AY26" i="1"/>
  <c r="AY27" i="1"/>
  <c r="AX28" i="1"/>
  <c r="AX29" i="1" s="1"/>
  <c r="AZ21" i="1"/>
  <c r="AZ22" i="1"/>
  <c r="AZ24" i="1" s="1"/>
  <c r="AZ25" i="1" s="1"/>
  <c r="AV31" i="1"/>
  <c r="AV12" i="5"/>
  <c r="Z63" i="1"/>
  <c r="Z34" i="1"/>
  <c r="V63" i="1"/>
  <c r="V34" i="1"/>
  <c r="AZ48" i="1" l="1"/>
  <c r="AZ53" i="1" s="1"/>
  <c r="AX41" i="1"/>
  <c r="AW32" i="1"/>
  <c r="AW33" i="1" s="1"/>
  <c r="AX12" i="5"/>
  <c r="AX31" i="1"/>
  <c r="AX32" i="1" s="1"/>
  <c r="AX33" i="1" s="1"/>
  <c r="AZ27" i="1"/>
  <c r="AZ26" i="1"/>
  <c r="AY28" i="1"/>
  <c r="AY29" i="1" s="1"/>
  <c r="AV33" i="1"/>
  <c r="AY41" i="1" l="1"/>
  <c r="AW63" i="1"/>
  <c r="AW41" i="5" s="1"/>
  <c r="AW42" i="5" s="1"/>
  <c r="AW77" i="1" s="1"/>
  <c r="AW34" i="1"/>
  <c r="AX63" i="1"/>
  <c r="AX41" i="5" s="1"/>
  <c r="AX42" i="5" s="1"/>
  <c r="AX77" i="1" s="1"/>
  <c r="AX34" i="1"/>
  <c r="AY12" i="5"/>
  <c r="AY31" i="1"/>
  <c r="AY32" i="1" s="1"/>
  <c r="AY33" i="1" s="1"/>
  <c r="AZ28" i="1"/>
  <c r="AZ29" i="1" s="1"/>
  <c r="AV34" i="1"/>
  <c r="AV63" i="1"/>
  <c r="AV41" i="5" s="1"/>
  <c r="AW79" i="1" l="1"/>
  <c r="AW81" i="1"/>
  <c r="AX79" i="1"/>
  <c r="AX81" i="1"/>
  <c r="AV42" i="5"/>
  <c r="AV77" i="1" s="1"/>
  <c r="AV44" i="5"/>
  <c r="AZ41" i="1"/>
  <c r="AY63" i="1"/>
  <c r="AY41" i="5" s="1"/>
  <c r="AY34" i="1"/>
  <c r="AZ12" i="5"/>
  <c r="AZ31" i="1"/>
  <c r="AZ32" i="1" s="1"/>
  <c r="AZ33" i="1" s="1"/>
  <c r="AV79" i="1" l="1"/>
  <c r="AV81" i="1" s="1"/>
  <c r="AW40" i="5"/>
  <c r="AW44" i="5" s="1"/>
  <c r="AV56" i="1"/>
  <c r="AV58" i="1" s="1"/>
  <c r="AV59" i="1" s="1"/>
  <c r="AY42" i="5"/>
  <c r="AZ63" i="1"/>
  <c r="AZ41" i="5" s="1"/>
  <c r="AZ34" i="1"/>
  <c r="AW56" i="1" l="1"/>
  <c r="AW58" i="1" s="1"/>
  <c r="AW59" i="1" s="1"/>
  <c r="AX40" i="5"/>
  <c r="AX44" i="5" s="1"/>
  <c r="AY77" i="1"/>
  <c r="AZ42" i="5"/>
  <c r="AX56" i="1" l="1"/>
  <c r="AX58" i="1" s="1"/>
  <c r="AX59" i="1" s="1"/>
  <c r="AY40" i="5"/>
  <c r="AY44" i="5" s="1"/>
  <c r="AY79" i="1"/>
  <c r="AY81" i="1" s="1"/>
  <c r="AZ77" i="1"/>
  <c r="AZ40" i="5" l="1"/>
  <c r="AZ44" i="5" s="1"/>
  <c r="AZ56" i="1" s="1"/>
  <c r="AZ58" i="1" s="1"/>
  <c r="AZ59" i="1" s="1"/>
  <c r="AY56" i="1"/>
  <c r="AY58" i="1" s="1"/>
  <c r="AY59" i="1" s="1"/>
  <c r="AZ79" i="1"/>
  <c r="AZ81" i="1"/>
  <c r="AW69" i="1" l="1"/>
  <c r="AX69" i="1"/>
  <c r="AY69" i="1"/>
  <c r="AZ69" i="1"/>
  <c r="AX38" i="1"/>
  <c r="AY46" i="1"/>
  <c r="AW46" i="1"/>
  <c r="AW61" i="1" s="1"/>
  <c r="AY38" i="1"/>
  <c r="AW38" i="1"/>
  <c r="AX46" i="1"/>
  <c r="AZ85" i="1" l="1"/>
  <c r="AY85" i="1"/>
  <c r="AX85" i="1"/>
  <c r="AW85" i="1"/>
  <c r="AZ46" i="1"/>
  <c r="AZ38" i="1"/>
  <c r="AV46" i="1"/>
  <c r="AV69" i="1"/>
  <c r="AV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tc={6009ACD0-D568-4F20-A91B-60E307CB0DBC}</author>
    <author>tc={5D9CB2A7-E819-4237-BFBA-8798425F73AA}</author>
    <author>tc={1307B7E3-B750-4E8C-B659-9800193A1013}</author>
  </authors>
  <commentList>
    <comment ref="K11" authorId="0" shapeId="0" xr:uid="{6009ACD0-D568-4F20-A91B-60E307CB0DBC}">
      <text>
        <t>[Threaded comment]
Your version of Excel allows you to read this threaded comment; however, any edits to it will get removed if the file is opened in a newer version of Excel. Learn more: https://go.microsoft.com/fwlink/?linkid=870924
Comment:
    Releases iPhone 12</t>
      </text>
    </comment>
    <comment ref="N11" authorId="1" shapeId="0" xr:uid="{5D9CB2A7-E819-4237-BFBA-8798425F73AA}">
      <text>
        <t>[Threaded comment]
Your version of Excel allows you to read this threaded comment; however, any edits to it will get removed if the file is opened in a newer version of Excel. Learn more: https://go.microsoft.com/fwlink/?linkid=870924
Comment:
    iPhone 13 launch</t>
      </text>
    </comment>
    <comment ref="S11" authorId="2" shapeId="0" xr:uid="{1307B7E3-B750-4E8C-B659-9800193A1013}">
      <text>
        <t>[Threaded comment]
Your version of Excel allows you to read this threaded comment; however, any edits to it will get removed if the file is opened in a newer version of Excel. Learn more: https://go.microsoft.com/fwlink/?linkid=870924
Comment:
    2B installed base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tc={2FD882F1-6B51-4A87-B268-67B360F9B6FA}</author>
    <author>tc={16ACD2CC-26D8-4DDF-BCEC-0FA9CA95EE0B}</author>
    <author>tc={1D6CD534-FB61-4A91-BC78-9D82EC550A89}</author>
    <author>tc={AAF20DAD-3250-47E6-BD04-819BD0C1F7D5}</author>
    <author>tc={8158A50C-A841-4A47-87E4-880423BA53D1}</author>
  </authors>
  <commentList>
    <comment ref="C11" authorId="0" shapeId="0" xr:uid="{2FD882F1-6B51-4A87-B268-67B360F9B6FA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Market Cap as of 10K (9/28/2024)</t>
      </text>
    </comment>
    <comment ref="H14" authorId="1" shapeId="0" xr:uid="{16ACD2CC-26D8-4DDF-BCEC-0FA9CA95EE0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Consensus of Industry Average. Source: Barrons</t>
      </text>
    </comment>
    <comment ref="C19" authorId="2" shapeId="0" xr:uid="{1D6CD534-FB61-4A91-BC78-9D82EC550A89}">
      <text>
        <t>[Threaded comment]
Your version of Excel allows you to read this threaded comment; however, any edits to it will get removed if the file is opened in a newer version of Excel. Learn more: https://go.microsoft.com/fwlink/?linkid=870924
Comment:
    10yr Yield as of 1/5/2024</t>
      </text>
    </comment>
    <comment ref="C20" authorId="3" shapeId="0" xr:uid="{AAF20DAD-3250-47E6-BD04-819BD0C1F7D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Consensus Estimates of Mag 7 growth</t>
      </text>
    </comment>
    <comment ref="C22" authorId="4" shapeId="0" xr:uid="{8158A50C-A841-4A47-87E4-880423BA53D1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Yahoo Finance</t>
      </text>
    </comment>
  </commentList>
</comments>
</file>

<file path=xl/sharedStrings.xml><?xml version="1.0" encoding="utf-8"?>
<sst xmlns="http://schemas.openxmlformats.org/spreadsheetml/2006/main" count="200" uniqueCount="154">
  <si>
    <t>Americas</t>
  </si>
  <si>
    <t>Europe</t>
  </si>
  <si>
    <t>China</t>
  </si>
  <si>
    <t>Japan</t>
  </si>
  <si>
    <t>APAC</t>
  </si>
  <si>
    <t>iPhone</t>
  </si>
  <si>
    <t>Units</t>
  </si>
  <si>
    <t>Mac</t>
  </si>
  <si>
    <t>iPad</t>
  </si>
  <si>
    <t>Wearables</t>
  </si>
  <si>
    <t>Products</t>
  </si>
  <si>
    <t>Services</t>
  </si>
  <si>
    <t>Revenue</t>
  </si>
  <si>
    <t>COGS</t>
  </si>
  <si>
    <t>Gross Profit</t>
  </si>
  <si>
    <t>R&amp;D</t>
  </si>
  <si>
    <t>SG&amp;A</t>
  </si>
  <si>
    <t>OpEx</t>
  </si>
  <si>
    <t>Interest</t>
  </si>
  <si>
    <t>Pretax Income</t>
  </si>
  <si>
    <t>Taxes</t>
  </si>
  <si>
    <t>Net Income</t>
  </si>
  <si>
    <t>EPS</t>
  </si>
  <si>
    <t>Shares</t>
  </si>
  <si>
    <t>Revenue y/y</t>
  </si>
  <si>
    <t>iPhone y/y</t>
  </si>
  <si>
    <t>Services y/y</t>
  </si>
  <si>
    <t>Gross Margin</t>
  </si>
  <si>
    <t>ServicesMargin</t>
  </si>
  <si>
    <t>Products Margin</t>
  </si>
  <si>
    <t>Operating Margin</t>
  </si>
  <si>
    <t>Tax Rate</t>
  </si>
  <si>
    <t>Nest Cash</t>
  </si>
  <si>
    <t>Cash</t>
  </si>
  <si>
    <t>AR</t>
  </si>
  <si>
    <t>VTR</t>
  </si>
  <si>
    <t>OCA</t>
  </si>
  <si>
    <t>PP&amp;E</t>
  </si>
  <si>
    <t>ONCA</t>
  </si>
  <si>
    <t>Assets</t>
  </si>
  <si>
    <t>DR</t>
  </si>
  <si>
    <t>Debt</t>
  </si>
  <si>
    <t>ONCL</t>
  </si>
  <si>
    <t>SE</t>
  </si>
  <si>
    <t>L+SE</t>
  </si>
  <si>
    <t>Model NI</t>
  </si>
  <si>
    <t>Reported NI</t>
  </si>
  <si>
    <t>D&amp;A</t>
  </si>
  <si>
    <t>SBC</t>
  </si>
  <si>
    <t>Other</t>
  </si>
  <si>
    <t>WC</t>
  </si>
  <si>
    <t>CFFO</t>
  </si>
  <si>
    <t>Securities</t>
  </si>
  <si>
    <t>CapEx</t>
  </si>
  <si>
    <t>CFFI</t>
  </si>
  <si>
    <t>ESOP Tax</t>
  </si>
  <si>
    <t>Dividends</t>
  </si>
  <si>
    <t>Buybacks</t>
  </si>
  <si>
    <t>CFFF</t>
  </si>
  <si>
    <t>CIC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</si>
  <si>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</si>
  <si>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</si>
  <si>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</si>
  <si>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</si>
  <si>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</si>
  <si>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</si>
  <si>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</si>
  <si>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</si>
  <si>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</si>
  <si>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</si>
  <si>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</si>
  <si>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</si>
  <si>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</si>
  <si>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</si>
  <si>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</si>
  <si>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</si>
  <si>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</si>
  <si>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</si>
  <si>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</si>
  <si>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</si>
  <si>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</si>
  <si>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</si>
  <si>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</si>
  <si>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</si>
  <si>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</si>
  <si>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</si>
  <si>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Cost of Products</t>
  </si>
  <si>
    <t>Cost of Services</t>
  </si>
  <si>
    <t>Average Sale Price</t>
  </si>
  <si>
    <t>$USD in Millions</t>
  </si>
  <si>
    <t>Op Income</t>
  </si>
  <si>
    <t>OCL</t>
  </si>
  <si>
    <t>AP</t>
  </si>
  <si>
    <t>Retail</t>
  </si>
  <si>
    <t>FCF</t>
  </si>
  <si>
    <t>Q3 2025</t>
  </si>
  <si>
    <t>Q4 2025</t>
  </si>
  <si>
    <t>Equity</t>
  </si>
  <si>
    <t>Cost of Debt</t>
  </si>
  <si>
    <t>D/(D+E)</t>
  </si>
  <si>
    <t>After Tax cost of Debt</t>
  </si>
  <si>
    <t>Risk Free Rate (10yr T-yield)</t>
  </si>
  <si>
    <t>Expected Market Return</t>
  </si>
  <si>
    <t>Market Risk Premium</t>
  </si>
  <si>
    <t>Beta</t>
  </si>
  <si>
    <t>E/(D+E)</t>
  </si>
  <si>
    <t>Cost of Equity</t>
  </si>
  <si>
    <t>WACC</t>
  </si>
  <si>
    <t>Fiscal Year</t>
  </si>
  <si>
    <t>2025E</t>
  </si>
  <si>
    <t>2026E</t>
  </si>
  <si>
    <t>2027E</t>
  </si>
  <si>
    <t>2028E</t>
  </si>
  <si>
    <t>2029E</t>
  </si>
  <si>
    <t>Unlevered FCF</t>
  </si>
  <si>
    <t>Projected Year</t>
  </si>
  <si>
    <t>PV of FCF</t>
  </si>
  <si>
    <t>Implied Share Price</t>
  </si>
  <si>
    <t>Sensitivity Table</t>
  </si>
  <si>
    <t>EV/EBIT</t>
  </si>
  <si>
    <t>Sum of PV of FCF</t>
  </si>
  <si>
    <t>Growth Rate</t>
  </si>
  <si>
    <t>Industry Growth Rate</t>
  </si>
  <si>
    <t>Terminal Value</t>
  </si>
  <si>
    <t>PV of Terminal Value</t>
  </si>
  <si>
    <t>Enterprise Value</t>
  </si>
  <si>
    <t>Equity Value</t>
  </si>
  <si>
    <t>Diluted Shares Outstanding</t>
  </si>
  <si>
    <t>R&amp;D % of Revenue</t>
  </si>
  <si>
    <t>SG&amp;A % of Revenue</t>
  </si>
  <si>
    <t>CapEx % of Revenue</t>
  </si>
  <si>
    <t>Beginning of Period</t>
  </si>
  <si>
    <t>Plus: CapEx</t>
  </si>
  <si>
    <t>Less: Depreciation</t>
  </si>
  <si>
    <t>End of Period</t>
  </si>
  <si>
    <t>D&amp;A related to PP&amp;E as % of CapEx</t>
  </si>
  <si>
    <t>Total D&amp;A</t>
  </si>
  <si>
    <t>D&amp;A (non PP&amp;E)</t>
  </si>
  <si>
    <t>as % Revenue</t>
  </si>
  <si>
    <t>D&amp;A Total</t>
  </si>
  <si>
    <t>Less: D&amp;A (non PP&amp;E)</t>
  </si>
  <si>
    <t>Plus: Additions</t>
  </si>
  <si>
    <t>Retained Earnings</t>
  </si>
  <si>
    <t>Plus: Net Income</t>
  </si>
  <si>
    <t>Less: Dividends</t>
  </si>
  <si>
    <t>Inventories</t>
  </si>
  <si>
    <t>Less: Buy Backs</t>
  </si>
  <si>
    <t>Common Stock</t>
  </si>
  <si>
    <t>Other Comprehensive Income</t>
  </si>
  <si>
    <t>TL</t>
  </si>
  <si>
    <t>Balance Sheet Check</t>
  </si>
  <si>
    <t>(+) Net Cash</t>
  </si>
  <si>
    <t xml:space="preserve">Unlevered FCF </t>
  </si>
  <si>
    <t>USD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</si>
</sst>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_(* #,##0_);_(* \(#,##0\);_(* &quot;-&quot;??_);_(@_)"/>
    <numFmt numFmtId="166" formatCode="0.0%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0"/>
      <color theme="1"/>
      <name val="Arial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41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9" fontId="0" fillId="0" borderId="0" xfId="2" applyFont="1"/>
    <xf numFmtId="0" fontId="3" fillId="0" borderId="0" xfId="0" applyFont="1"/>
    <xf numFmtId="44" fontId="0" fillId="0" borderId="0" xfId="1" applyFont="1"/>
    <xf numFmtId="165" fontId="0" fillId="0" borderId="0" xfId="3" applyNumberFormat="1" applyFont="1"/>
    <xf numFmtId="3" fontId="0" fillId="0" borderId="0" xfId="0" applyNumberFormat="1" applyAlignment="1">
      <alignment horizontal="right"/>
    </xf>
    <xf numFmtId="3" fontId="5" fillId="0" borderId="0" xfId="0" applyNumberFormat="1" applyFont="1" applyAlignment="1">
      <alignment horizontal="right"/>
    </xf>
    <xf numFmtId="3" fontId="0" fillId="0" borderId="0" xfId="1" applyNumberFormat="1" applyFont="1"/>
    <xf numFmtId="3" fontId="3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3" fontId="0" fillId="0" borderId="1" xfId="0" applyNumberFormat="1" applyBorder="1"/>
    <xf numFmtId="3" fontId="1" fillId="0" borderId="1" xfId="0" applyNumberFormat="1" applyFont="1" applyBorder="1"/>
    <xf numFmtId="10" fontId="0" fillId="0" borderId="0" xfId="0" applyNumberFormat="1"/>
    <xf numFmtId="10" fontId="0" fillId="3" borderId="0" xfId="0" applyNumberFormat="1" applyFill="1"/>
    <xf numFmtId="3" fontId="0" fillId="0" borderId="0" xfId="3" applyNumberFormat="1" applyFont="1"/>
    <xf numFmtId="0" fontId="1" fillId="3" borderId="1" xfId="0" applyFont="1" applyFill="1" applyBorder="1"/>
    <xf numFmtId="0" fontId="0" fillId="3" borderId="1" xfId="0" applyFill="1" applyBorder="1"/>
    <xf numFmtId="166" fontId="0" fillId="0" borderId="0" xfId="2" applyNumberFormat="1" applyFont="1"/>
    <xf numFmtId="166" fontId="1" fillId="0" borderId="0" xfId="2" applyNumberFormat="1" applyFont="1"/>
    <xf numFmtId="166" fontId="3" fillId="0" borderId="0" xfId="2" applyNumberFormat="1" applyFont="1"/>
    <xf numFmtId="166" fontId="6" fillId="0" borderId="0" xfId="2" applyNumberFormat="1" applyFont="1"/>
    <xf numFmtId="0" fontId="1" fillId="0" borderId="2" xfId="0" applyFont="1" applyBorder="1"/>
    <xf numFmtId="0" fontId="0" fillId="0" borderId="2" xfId="0" applyBorder="1"/>
    <xf numFmtId="0" fontId="0" fillId="0" borderId="3" xfId="0" applyBorder="1" applyAlignment="1">
      <alignment horizontal="left" indent="1"/>
    </xf>
    <xf numFmtId="0" fontId="0" fillId="0" borderId="3" xfId="0" applyBorder="1"/>
    <xf numFmtId="3" fontId="0" fillId="0" borderId="3" xfId="0" applyNumberFormat="1" applyBorder="1"/>
    <xf numFmtId="3" fontId="0" fillId="0" borderId="2" xfId="0" applyNumberFormat="1" applyBorder="1"/>
    <xf numFmtId="166" fontId="0" fillId="0" borderId="3" xfId="2" applyNumberFormat="1" applyFont="1" applyBorder="1"/>
    <xf numFmtId="3" fontId="4" fillId="0" borderId="0" xfId="0" applyNumberFormat="1" applyFont="1"/>
    <xf numFmtId="0" fontId="4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 vertical="center"/>
    </xf>
    <xf numFmtId="0" fontId="4" fillId="2" borderId="0" xfId="0" applyFont="1" applyFill="1" applyAlignment="1">
      <alignment horizontal="centerContinuous" vertical="top"/>
    </xf>
    <xf numFmtId="166" fontId="0" fillId="0" borderId="0" xfId="0" applyNumberFormat="1"/>
    <xf numFmtId="166" fontId="0" fillId="0" borderId="1" xfId="2" applyNumberFormat="1" applyFont="1" applyBorder="1"/>
    <xf numFmtId="44" fontId="1" fillId="3" borderId="1" xfId="1" applyFont="1" applyFill="1" applyBorder="1"/>
    <xf numFmtId="2" fontId="0" fillId="0" borderId="0" xfId="0" applyNumberFormat="1"/>
    <xf numFmtId="2" fontId="0" fillId="3" borderId="0" xfId="0" applyNumberFormat="1" applyFill="1"/>
    <xf numFmtId="2" fontId="4" fillId="2" borderId="0" xfId="0" applyNumberFormat="1" applyFont="1" applyFill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281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600075</xdr:colOff>
      <xdr:row>0</xdr:row>
      <xdr:rowOff>19050</xdr:rowOff>
    </xdr:from>
    <xdr:to>
      <xdr:col>26</xdr:col>
      <xdr:colOff>0</xdr:colOff>
      <xdr:row>68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E0D157-40C3-B0E0-3667-6E5A524002A1}"/>
            </a:ext>
          </a:extLst>
        </xdr:cNvPr>
        <xdr:cNvCxnSpPr/>
      </xdr:nvCxnSpPr>
      <xdr:spPr>
        <a:xfrm flipH="1">
          <a:off x="16868775" y="19050"/>
          <a:ext cx="9525" cy="12372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0</xdr:row>
      <xdr:rowOff>38100</xdr:rowOff>
    </xdr:from>
    <xdr:to>
      <xdr:col>47</xdr:col>
      <xdr:colOff>0</xdr:colOff>
      <xdr:row>68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6C708C8-48EB-ED5E-10CB-A073626D4465}"/>
            </a:ext>
          </a:extLst>
        </xdr:cNvPr>
        <xdr:cNvCxnSpPr/>
      </xdr:nvCxnSpPr>
      <xdr:spPr>
        <a:xfrm>
          <a:off x="29679900" y="38100"/>
          <a:ext cx="0" cy="12392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10949</xdr:colOff>
      <xdr:row>0</xdr:row>
      <xdr:rowOff>0</xdr:rowOff>
    </xdr:from>
    <xdr:to>
      <xdr:col>26</xdr:col>
      <xdr:colOff>10950</xdr:colOff>
      <xdr:row>87</xdr:row>
      <xdr:rowOff>43793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1D57AE-C484-EF56-4EA5-BBB2D3DA6B2A}"/>
            </a:ext>
          </a:extLst>
        </xdr:cNvPr>
        <xdr:cNvCxnSpPr/>
      </xdr:nvCxnSpPr>
      <xdr:spPr>
        <a:xfrm flipH="1">
          <a:off x="18995259" y="0"/>
          <a:ext cx="1" cy="1679465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17562</xdr:colOff>
      <xdr:row>1</xdr:row>
      <xdr:rowOff>52917</xdr:rowOff>
    </xdr:from>
    <xdr:to>
      <xdr:col>47</xdr:col>
      <xdr:colOff>17562</xdr:colOff>
      <xdr:row>88</xdr:row>
      <xdr:rowOff>107658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128D6D6-7971-448E-8DB9-F56F9412887F}"/>
            </a:ext>
          </a:extLst>
        </xdr:cNvPr>
        <xdr:cNvCxnSpPr/>
      </xdr:nvCxnSpPr>
      <xdr:spPr>
        <a:xfrm>
          <a:off x="33386812" y="243417"/>
          <a:ext cx="0" cy="166070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aniel Dantas Jr" id="{AA763246-0D21-4D92-91C3-15E120DC780E}" userId="64d300fcf58872a0" providerId="Windows Live"/>
  <person displayName="Martin Shkreli" id="{2082D825-5D9A-4706-A7BB-8D3EA0F34BDE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1" dT="2022-08-26T02:45:15.22" personId="{2082D825-5D9A-4706-A7BB-8D3EA0F34BDE}" id="{6009ACD0-D568-4F20-A91B-60E307CB0DBC}">
    <text>Releases iPhone 12</text>
  </threadedComment>
  <threadedComment ref="N11" dT="2022-08-26T02:45:35.85" personId="{2082D825-5D9A-4706-A7BB-8D3EA0F34BDE}" id="{5D9CB2A7-E819-4237-BFBA-8798425F73AA}">
    <text>iPhone 13 launch</text>
  </threadedComment>
  <threadedComment ref="S11" dT="2023-05-05T02:37:23.63" personId="{2082D825-5D9A-4706-A7BB-8D3EA0F34BDE}" id="{1307B7E3-B750-4E8C-B659-9800193A1013}">
    <text>2B installed base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1" dT="2025-01-15T12:01:08.52" personId="{AA763246-0D21-4D92-91C3-15E120DC780E}" id="{2FD882F1-6B51-4A87-B268-67B360F9B6FA}">
    <text>Market Cap as of 10K (9/28/2024)</text>
  </threadedComment>
  <threadedComment ref="H14" dT="2025-01-15T12:25:37.46" personId="{AA763246-0D21-4D92-91C3-15E120DC780E}" id="{16ACD2CC-26D8-4DDF-BCEC-0FA9CA95EE0B}">
    <text>Consensus of Industry Average. Source: Barrons</text>
  </threadedComment>
  <threadedComment ref="C19" dT="2025-01-15T12:04:01.35" personId="{AA763246-0D21-4D92-91C3-15E120DC780E}" id="{1D6CD534-FB61-4A91-BC78-9D82EC550A89}">
    <text>10yr Yield as of 1/5/2024</text>
  </threadedComment>
  <threadedComment ref="C20" dT="2025-01-15T12:06:54.32" personId="{AA763246-0D21-4D92-91C3-15E120DC780E}" id="{AAF20DAD-3250-47E6-BD04-819BD0C1F7D5}">
    <text>Consensus Estimates of Mag 7 growth</text>
  </threadedComment>
  <threadedComment ref="C22" dT="2025-01-15T12:05:10.87" personId="{AA763246-0D21-4D92-91C3-15E120DC780E}" id="{8158A50C-A841-4A47-87E4-880423BA53D1}">
    <text>Source: Yahoo Finance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58C5-1226-4BF7-8960-1A96D0BFEE9C}">
  <dimension ref="A1"/>
  <sheetViews>
    <sheetView workbookViewId="0">
      <selection activeCell="C66" sqref="C6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B29D-8F2C-45B6-B94A-BCE22CE35D03}">
  <dimension ref="A1:BA44"/>
  <sheetViews>
    <sheetView workbookViewId="0">
      <pane xSplit="2" ySplit="2" topLeftCell="AL3" activePane="bottomRight" state="frozen"/>
      <selection pane="topRight" activeCell="C1" sqref="C1"/>
      <selection pane="bottomLeft" activeCell="A3" sqref="A3"/>
      <selection pane="bottomRight" activeCell="BC41" sqref="BC41"/>
    </sheetView>
  </sheetViews>
  <sheetFormatPr defaultRowHeight="15" x14ac:dyDescent="0.25"/>
  <cols>
    <col min="1" max="1" width="6.28515625" customWidth="1"/>
    <col min="2" max="2" width="33.42578125" customWidth="1"/>
    <col min="3" max="3" width="10.42578125" bestFit="1" customWidth="1"/>
    <col min="7" max="7" width="10.42578125" bestFit="1" customWidth="1"/>
  </cols>
  <sheetData>
    <row r="1" spans="2:53" x14ac:dyDescent="0.25">
      <c r="B1" t="s">
        <v>89</v>
      </c>
      <c r="C1" s="4">
        <v>43463</v>
      </c>
      <c r="D1" s="4">
        <v>43554</v>
      </c>
      <c r="E1" s="4">
        <v>43645</v>
      </c>
      <c r="F1" s="4">
        <v>43736</v>
      </c>
      <c r="G1" s="4">
        <v>43827</v>
      </c>
      <c r="H1" s="4">
        <v>43918</v>
      </c>
      <c r="I1" s="5">
        <v>44009</v>
      </c>
      <c r="J1" s="5">
        <v>44100</v>
      </c>
      <c r="K1" s="5">
        <v>44191</v>
      </c>
      <c r="L1" s="5">
        <v>44282</v>
      </c>
      <c r="M1" s="5">
        <v>44373</v>
      </c>
      <c r="N1" s="5">
        <v>44464</v>
      </c>
      <c r="O1" s="5">
        <v>44555</v>
      </c>
      <c r="P1" s="5">
        <v>44646</v>
      </c>
      <c r="Q1" s="5">
        <v>44737</v>
      </c>
      <c r="R1" s="5">
        <v>44828</v>
      </c>
      <c r="S1" s="5">
        <v>44926</v>
      </c>
      <c r="T1" s="5">
        <v>45017</v>
      </c>
      <c r="U1" s="5">
        <v>45108</v>
      </c>
      <c r="V1" s="5">
        <v>45199</v>
      </c>
      <c r="W1" s="5">
        <v>45290</v>
      </c>
      <c r="X1" s="5">
        <v>45381</v>
      </c>
      <c r="Y1" s="5">
        <v>45472</v>
      </c>
      <c r="Z1" s="5">
        <v>45563</v>
      </c>
      <c r="AA1" s="5">
        <v>45656</v>
      </c>
      <c r="AB1" s="5">
        <v>45746</v>
      </c>
      <c r="AC1" s="5">
        <v>45837</v>
      </c>
      <c r="AD1" s="5">
        <v>45928</v>
      </c>
    </row>
    <row r="2" spans="2:53" x14ac:dyDescent="0.25"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s="2" t="s">
        <v>84</v>
      </c>
      <c r="AB2" s="2" t="s">
        <v>85</v>
      </c>
      <c r="AC2" s="2" t="s">
        <v>95</v>
      </c>
      <c r="AD2" s="2" t="s">
        <v>96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2018</v>
      </c>
      <c r="AP2">
        <v>2019</v>
      </c>
      <c r="AQ2">
        <v>2020</v>
      </c>
      <c r="AR2">
        <v>2021</v>
      </c>
      <c r="AS2">
        <v>2022</v>
      </c>
      <c r="AT2">
        <v>2023</v>
      </c>
      <c r="AU2">
        <v>2024</v>
      </c>
      <c r="AV2">
        <v>2025</v>
      </c>
      <c r="AW2">
        <v>2026</v>
      </c>
      <c r="AX2">
        <v>2027</v>
      </c>
      <c r="AY2">
        <v>2028</v>
      </c>
      <c r="AZ2">
        <v>2029</v>
      </c>
    </row>
    <row r="3" spans="2:53" x14ac:dyDescent="0.25">
      <c r="AA3" s="2"/>
      <c r="AB3" s="2"/>
      <c r="AC3" s="2"/>
      <c r="AD3" s="2"/>
    </row>
    <row r="4" spans="2:53" s="1" customFormat="1" x14ac:dyDescent="0.25">
      <c r="B4" s="1" t="s">
        <v>12</v>
      </c>
      <c r="C4" s="3">
        <v>84310</v>
      </c>
      <c r="D4" s="3">
        <v>58015</v>
      </c>
      <c r="E4" s="3">
        <v>53809</v>
      </c>
      <c r="F4" s="3">
        <v>63040</v>
      </c>
      <c r="G4" s="3">
        <v>91819</v>
      </c>
      <c r="H4" s="3">
        <v>58313</v>
      </c>
      <c r="I4" s="3">
        <v>59685</v>
      </c>
      <c r="J4" s="3">
        <v>64698</v>
      </c>
      <c r="K4" s="3">
        <v>111439</v>
      </c>
      <c r="L4" s="3">
        <v>89584</v>
      </c>
      <c r="M4" s="3">
        <v>81434</v>
      </c>
      <c r="N4" s="3">
        <v>83360</v>
      </c>
      <c r="O4" s="3">
        <v>123945</v>
      </c>
      <c r="P4" s="3">
        <v>97278</v>
      </c>
      <c r="Q4" s="3">
        <v>82959</v>
      </c>
      <c r="R4" s="3">
        <v>90146</v>
      </c>
      <c r="S4" s="3">
        <v>117154</v>
      </c>
      <c r="T4" s="3">
        <v>94836</v>
      </c>
      <c r="U4" s="3">
        <v>81797</v>
      </c>
      <c r="V4" s="3">
        <v>89498</v>
      </c>
      <c r="W4" s="3">
        <v>119575</v>
      </c>
      <c r="X4" s="3">
        <v>90753</v>
      </c>
      <c r="Y4" s="3">
        <v>85777</v>
      </c>
      <c r="Z4" s="3">
        <v>94930</v>
      </c>
      <c r="AA4" s="3">
        <v>121661.416</v>
      </c>
      <c r="AB4" s="3">
        <v>92591.082999999999</v>
      </c>
      <c r="AC4" s="3">
        <v>87611.23</v>
      </c>
      <c r="AD4" s="3">
        <v>96876.98599999999</v>
      </c>
      <c r="AE4" s="3"/>
      <c r="AG4" s="3">
        <v>65225</v>
      </c>
      <c r="AH4" s="3">
        <v>108249</v>
      </c>
      <c r="AI4" s="3">
        <v>156508</v>
      </c>
      <c r="AJ4" s="3">
        <v>170910</v>
      </c>
      <c r="AK4" s="3">
        <v>182795</v>
      </c>
      <c r="AL4" s="3">
        <v>233715</v>
      </c>
      <c r="AM4" s="3">
        <v>215639</v>
      </c>
      <c r="AN4" s="3">
        <v>229234</v>
      </c>
      <c r="AO4" s="3">
        <v>265595</v>
      </c>
      <c r="AP4" s="3">
        <v>260174</v>
      </c>
      <c r="AQ4" s="3">
        <v>274515</v>
      </c>
      <c r="AR4" s="3">
        <v>365817</v>
      </c>
      <c r="AS4" s="3">
        <v>394328</v>
      </c>
      <c r="AT4" s="3">
        <v>383285</v>
      </c>
      <c r="AU4" s="3">
        <v>391035</v>
      </c>
      <c r="AV4" s="3">
        <v>398740.71499999997</v>
      </c>
      <c r="AW4" s="3">
        <v>408890.73816099996</v>
      </c>
      <c r="AX4" s="3">
        <v>419293.44167208497</v>
      </c>
      <c r="AY4" s="3">
        <v>427529.87775077194</v>
      </c>
      <c r="AZ4" s="3">
        <v>436231.25776333257</v>
      </c>
      <c r="BA4" s="3"/>
    </row>
    <row r="5" spans="2:53" x14ac:dyDescent="0.25">
      <c r="AA5" s="2"/>
      <c r="AB5" s="2"/>
      <c r="AC5" s="2"/>
      <c r="AD5" s="2"/>
    </row>
    <row r="6" spans="2:53" s="1" customFormat="1" x14ac:dyDescent="0.25">
      <c r="B6" s="1" t="s">
        <v>24</v>
      </c>
      <c r="G6" s="28">
        <f>+FSM!G21/FSM!C21-1</f>
        <v>8.9064167951607098E-2</v>
      </c>
      <c r="H6" s="28">
        <f>+FSM!H21/FSM!D21-1</f>
        <v>5.1366026027750422E-3</v>
      </c>
      <c r="I6" s="28">
        <f>+FSM!I21/FSM!E21-1</f>
        <v>0.10920106301919752</v>
      </c>
      <c r="J6" s="28">
        <f>+FSM!J21/FSM!F21-1</f>
        <v>2.6300761421319763E-2</v>
      </c>
      <c r="K6" s="28">
        <f>+FSM!K21/FSM!G21-1</f>
        <v>0.21368126422635836</v>
      </c>
      <c r="L6" s="28">
        <f>+FSM!L21/FSM!H21-1</f>
        <v>0.53626121105070901</v>
      </c>
      <c r="M6" s="28">
        <f>+FSM!M21/FSM!I21-1</f>
        <v>0.36439641450950822</v>
      </c>
      <c r="N6" s="28">
        <f>+FSM!N21/FSM!J21-1</f>
        <v>0.28844786546724777</v>
      </c>
      <c r="O6" s="28">
        <f>+FSM!O21/FSM!K21-1</f>
        <v>0.11222283042740866</v>
      </c>
      <c r="P6" s="28">
        <f>+FSM!P21/FSM!L21-1</f>
        <v>8.5885872477228009E-2</v>
      </c>
      <c r="Q6" s="28">
        <f>+FSM!Q21/FSM!M21-1</f>
        <v>1.8726821720657316E-2</v>
      </c>
      <c r="R6" s="28">
        <f>+FSM!R21/FSM!N21-1</f>
        <v>8.1405950095969182E-2</v>
      </c>
      <c r="S6" s="28">
        <f>+FSM!S21/FSM!O21-1</f>
        <v>-5.4790431239662762E-2</v>
      </c>
      <c r="T6" s="28">
        <f>+FSM!T21/FSM!P21-1</f>
        <v>-2.5103312156911084E-2</v>
      </c>
      <c r="U6" s="28">
        <f>+FSM!U21/FSM!Q21-1</f>
        <v>-1.4006919080509661E-2</v>
      </c>
      <c r="V6" s="28">
        <f>+FSM!V21/FSM!R21-1</f>
        <v>-7.1883389168682088E-3</v>
      </c>
      <c r="W6" s="28">
        <f>+FSM!W21/FSM!S21-1</f>
        <v>2.0665107465387411E-2</v>
      </c>
      <c r="X6" s="28">
        <f>+FSM!X21/FSM!T21-1</f>
        <v>-4.3053270909781061E-2</v>
      </c>
      <c r="Y6" s="28">
        <f>+FSM!Y21/FSM!U21-1</f>
        <v>4.8657041211780383E-2</v>
      </c>
      <c r="Z6" s="28">
        <f>+FSM!Z21/FSM!V21-1</f>
        <v>6.0694093722764686E-2</v>
      </c>
      <c r="AA6" s="28">
        <v>0.02</v>
      </c>
      <c r="AB6" s="28">
        <v>0.02</v>
      </c>
      <c r="AC6" s="28">
        <v>0.02</v>
      </c>
      <c r="AD6" s="28">
        <v>0.02</v>
      </c>
      <c r="AG6" s="28"/>
      <c r="AH6" s="28">
        <f>+FSM!AH21/FSM!AG21-1</f>
        <v>0.65962437715599842</v>
      </c>
      <c r="AI6" s="28">
        <f>+FSM!AI21/FSM!AH21-1</f>
        <v>0.44581474193756976</v>
      </c>
      <c r="AJ6" s="28">
        <f>+FSM!AJ21/FSM!AI21-1</f>
        <v>9.2020855163953197E-2</v>
      </c>
      <c r="AK6" s="28">
        <f>+FSM!AK21/FSM!AJ21-1</f>
        <v>6.9539523725937524E-2</v>
      </c>
      <c r="AL6" s="28">
        <f>+FSM!AL21/FSM!AK21-1</f>
        <v>0.27856341803659834</v>
      </c>
      <c r="AM6" s="28">
        <f>+FSM!AM21/FSM!AL21-1</f>
        <v>-7.7342061913013738E-2</v>
      </c>
      <c r="AN6" s="28">
        <f>+FSM!AN21/FSM!AM21-1</f>
        <v>6.304518199398057E-2</v>
      </c>
      <c r="AO6" s="28">
        <f>+FSM!AO21/FSM!AN21-1</f>
        <v>0.15861957650261305</v>
      </c>
      <c r="AP6" s="28">
        <f>+FSM!AP21/FSM!AO21-1</f>
        <v>-2.04107758052674E-2</v>
      </c>
      <c r="AQ6" s="28">
        <f>+FSM!AQ21/FSM!AP21-1</f>
        <v>5.5120803769784787E-2</v>
      </c>
      <c r="AR6" s="28">
        <f>+FSM!AR21/FSM!AQ21-1</f>
        <v>0.33259384733074704</v>
      </c>
      <c r="AS6" s="28">
        <f>+FSM!AS21/FSM!AR21-1</f>
        <v>7.7937876041846099E-2</v>
      </c>
      <c r="AT6" s="28">
        <f>+FSM!AT21/FSM!AS21-1</f>
        <v>-2.800460530319937E-2</v>
      </c>
      <c r="AU6" s="28">
        <f>+FSM!AU21/FSM!AT21-1</f>
        <v>2.021994077514111E-2</v>
      </c>
      <c r="AV6" s="28">
        <v>0.02</v>
      </c>
      <c r="AW6" s="28">
        <v>2.5000000000000001E-2</v>
      </c>
      <c r="AX6" s="28">
        <v>2.5000000000000001E-2</v>
      </c>
      <c r="AY6" s="28">
        <v>0.02</v>
      </c>
      <c r="AZ6" s="28">
        <v>0.02</v>
      </c>
      <c r="BA6" s="3"/>
    </row>
    <row r="7" spans="2:53" x14ac:dyDescent="0.25">
      <c r="B7" t="s">
        <v>25</v>
      </c>
      <c r="G7" s="27">
        <f>+FSM!G11/FSM!C11-1</f>
        <v>7.6468777653803333E-2</v>
      </c>
      <c r="H7" s="27">
        <f>+FSM!H11/FSM!D11-1</f>
        <v>-6.727641621847924E-2</v>
      </c>
      <c r="I7" s="27">
        <f>+FSM!I11/FSM!E11-1</f>
        <v>1.6624336181020549E-2</v>
      </c>
      <c r="J7" s="27">
        <f>+FSM!J11/FSM!F11-1</f>
        <v>-0.20736166896469033</v>
      </c>
      <c r="K7" s="27">
        <f>+FSM!K11/FSM!G11-1</f>
        <v>0.1722751398395197</v>
      </c>
      <c r="L7" s="27">
        <f>+FSM!L11/FSM!H11-1</f>
        <v>0.65520336993301576</v>
      </c>
      <c r="M7" s="27">
        <f>+FSM!M11/FSM!I11-1</f>
        <v>0.49784238019532134</v>
      </c>
      <c r="N7" s="27">
        <f>+FSM!N11/FSM!J11-1</f>
        <v>0.46982302223566785</v>
      </c>
      <c r="O7" s="27">
        <f>+FSM!O11/FSM!K11-1</f>
        <v>9.1940180191167231E-2</v>
      </c>
      <c r="P7" s="27">
        <f>+FSM!P11/FSM!L11-1</f>
        <v>5.4904251324627618E-2</v>
      </c>
      <c r="Q7" s="27">
        <f>+FSM!Q11/FSM!M11-1</f>
        <v>2.7672479150871787E-2</v>
      </c>
      <c r="R7" s="27">
        <f>+FSM!R11/FSM!N11-1</f>
        <v>9.6686220026757308E-2</v>
      </c>
      <c r="S7" s="27">
        <f>+FSM!S11/FSM!O11-1</f>
        <v>-8.1713854917071505E-2</v>
      </c>
      <c r="T7" s="27">
        <f>+FSM!T11/FSM!P11-1</f>
        <v>1.510777140597197E-2</v>
      </c>
      <c r="U7" s="27">
        <f>+FSM!U11/FSM!Q11-1</f>
        <v>-2.4492807082257428E-2</v>
      </c>
      <c r="V7" s="27">
        <f>+FSM!V11/FSM!R11-1</f>
        <v>2.7659175151315996E-2</v>
      </c>
      <c r="W7" s="27">
        <f>+FSM!W11/FSM!S11-1</f>
        <v>5.9703534777651113E-2</v>
      </c>
      <c r="X7" s="27">
        <f>+FSM!X11/FSM!T11-1</f>
        <v>-0.10462851131803486</v>
      </c>
      <c r="Y7" s="27">
        <f>+FSM!Y11/FSM!U11-1</f>
        <v>-9.4028082381708566E-3</v>
      </c>
      <c r="Z7" s="27">
        <f>+FSM!Z11/FSM!V11-1</f>
        <v>5.5176349731765884E-2</v>
      </c>
      <c r="AA7" s="27">
        <v>7.0000000000000001E-3</v>
      </c>
      <c r="AB7" s="27">
        <v>7.0000000000000001E-3</v>
      </c>
      <c r="AC7" s="27">
        <v>7.0000000000000001E-3</v>
      </c>
      <c r="AD7" s="27">
        <v>7.0000000000000001E-3</v>
      </c>
      <c r="AG7" s="27"/>
      <c r="AH7" s="27">
        <f>+FSM!AH11/FSM!AG11-1</f>
        <v>0.82683982683982693</v>
      </c>
      <c r="AI7" s="27">
        <f>+FSM!AI11/FSM!AH11-1</f>
        <v>0.71077003347971646</v>
      </c>
      <c r="AJ7" s="27">
        <f>+FSM!AJ11/FSM!AI11-1</f>
        <v>0.15995272708788688</v>
      </c>
      <c r="AK7" s="27">
        <f>+FSM!AK11/FSM!AJ11-1</f>
        <v>0.11735448460215392</v>
      </c>
      <c r="AL7" s="27">
        <f>+FSM!AL11/FSM!AK11-1</f>
        <v>0.52014393426870997</v>
      </c>
      <c r="AM7" s="27">
        <f>+FSM!AM11/FSM!AL11-1</f>
        <v>-0.11829774059764842</v>
      </c>
      <c r="AN7" s="27">
        <f>+FSM!AN11/FSM!AM11-1</f>
        <v>3.3789319678127372E-2</v>
      </c>
      <c r="AO7" s="27">
        <f>+FSM!AO11/FSM!AN11-1</f>
        <v>0.16677870633106662</v>
      </c>
      <c r="AP7" s="27">
        <f>+FSM!AP11/FSM!AO11-1</f>
        <v>-0.13649871427878313</v>
      </c>
      <c r="AQ7" s="27">
        <f>+FSM!AQ11/FSM!AP11-1</f>
        <v>-3.2307681502447672E-2</v>
      </c>
      <c r="AR7" s="27">
        <f>+FSM!AR11/FSM!AQ11-1</f>
        <v>0.39331983364905176</v>
      </c>
      <c r="AS7" s="27">
        <f>+FSM!AS11/FSM!AR11-1</f>
        <v>7.0405734139696641E-2</v>
      </c>
      <c r="AT7" s="27">
        <f>+FSM!AT11/FSM!AS11-1</f>
        <v>-2.3874757286278081E-2</v>
      </c>
      <c r="AU7" s="27">
        <f>+FSM!AU11/FSM!AT11-1</f>
        <v>2.9912804175826757E-3</v>
      </c>
      <c r="AV7" s="30">
        <v>7.0000000000000001E-3</v>
      </c>
      <c r="AW7" s="30">
        <v>1.0999999999999999E-2</v>
      </c>
      <c r="AX7" s="30">
        <v>1.4999999999999999E-2</v>
      </c>
      <c r="AY7" s="30">
        <v>7.0000000000000001E-3</v>
      </c>
      <c r="AZ7" s="30">
        <v>8.0000000000000002E-3</v>
      </c>
      <c r="BA7" s="2"/>
    </row>
    <row r="8" spans="2:53" x14ac:dyDescent="0.25">
      <c r="B8" t="s">
        <v>26</v>
      </c>
      <c r="G8" s="27">
        <f>+FSM!G20/FSM!C20-1</f>
        <v>0.16919540229885066</v>
      </c>
      <c r="H8" s="27">
        <f>+FSM!H20/FSM!D20-1</f>
        <v>0.16576419213973792</v>
      </c>
      <c r="I8" s="27">
        <f>+FSM!I20/FSM!E20-1</f>
        <v>0.14849410737669144</v>
      </c>
      <c r="J8" s="27">
        <f>+FSM!J20/FSM!F20-1</f>
        <v>0.16289665094716654</v>
      </c>
      <c r="K8" s="27">
        <f>+FSM!K20/FSM!G20-1</f>
        <v>0.23955957530475813</v>
      </c>
      <c r="L8" s="27">
        <f>+FSM!L20/FSM!H20-1</f>
        <v>0.26618219958046141</v>
      </c>
      <c r="M8" s="27">
        <f>+FSM!M20/FSM!I20-1</f>
        <v>0.32912739434478566</v>
      </c>
      <c r="N8" s="27">
        <f>+FSM!N20/FSM!J20-1</f>
        <v>0.25623754209911342</v>
      </c>
      <c r="O8" s="27">
        <f>+FSM!O20/FSM!K20-1</f>
        <v>0.23824630416851722</v>
      </c>
      <c r="P8" s="27">
        <f>+FSM!P20/FSM!L20-1</f>
        <v>0.17277084196201398</v>
      </c>
      <c r="Q8" s="27">
        <f>+FSM!Q20/FSM!M20-1</f>
        <v>0.12112547180601618</v>
      </c>
      <c r="R8" s="27">
        <f>+FSM!R20/FSM!N20-1</f>
        <v>4.984406631285232E-2</v>
      </c>
      <c r="S8" s="27">
        <f>+FSM!S20/FSM!O20-1</f>
        <v>6.4050010248001721E-2</v>
      </c>
      <c r="T8" s="27">
        <f>+FSM!T20/FSM!P20-1</f>
        <v>5.4790373845921003E-2</v>
      </c>
      <c r="U8" s="27">
        <f>+FSM!U20/FSM!Q20-1</f>
        <v>8.2075086716996593E-2</v>
      </c>
      <c r="V8" s="27">
        <f>+FSM!V20/FSM!R20-1</f>
        <v>0.16291432145090678</v>
      </c>
      <c r="W8" s="27">
        <f>+FSM!W20/FSM!S20-1</f>
        <v>0.11321390734855052</v>
      </c>
      <c r="X8" s="27">
        <f>+FSM!X20/FSM!T20-1</f>
        <v>0.14157937532883724</v>
      </c>
      <c r="Y8" s="27">
        <f>+FSM!Y20/FSM!U20-1</f>
        <v>0.1414227124876255</v>
      </c>
      <c r="Z8" s="27">
        <f>+FSM!Z20/FSM!V20-1</f>
        <v>0.11911804248453883</v>
      </c>
      <c r="AA8" s="27">
        <v>4.5999999999999999E-2</v>
      </c>
      <c r="AB8" s="27">
        <v>4.5999999999999999E-2</v>
      </c>
      <c r="AC8" s="27">
        <v>4.5999999999999999E-2</v>
      </c>
      <c r="AD8" s="27">
        <v>4.5999999999999999E-2</v>
      </c>
      <c r="AG8" s="27"/>
      <c r="AH8" s="27">
        <f>+FSM!AH20/FSM!AG20-1</f>
        <v>0.24624385055178832</v>
      </c>
      <c r="AI8" s="27">
        <f>+FSM!AI20/FSM!AH20-1</f>
        <v>0.37522671503254035</v>
      </c>
      <c r="AJ8" s="27">
        <f>+FSM!AJ20/FSM!AI20-1</f>
        <v>0.24522885958107055</v>
      </c>
      <c r="AK8" s="27">
        <f>+FSM!AK20/FSM!AJ20-1</f>
        <v>0.12535044545511176</v>
      </c>
      <c r="AL8" s="27">
        <f>+FSM!AL20/FSM!AK20-1</f>
        <v>0.10219786303493339</v>
      </c>
      <c r="AM8" s="27">
        <f>+FSM!AM20/FSM!AL20-1</f>
        <v>0.22296448842232164</v>
      </c>
      <c r="AN8" s="27">
        <f>+FSM!AN20/FSM!AM20-1</f>
        <v>0.23131263348118947</v>
      </c>
      <c r="AO8" s="27">
        <f>+FSM!AO20/FSM!AN20-1</f>
        <v>0.3258172114743163</v>
      </c>
      <c r="AP8" s="27">
        <f>+FSM!AP20/FSM!AO20-1</f>
        <v>0.16461205595250084</v>
      </c>
      <c r="AQ8" s="27">
        <f>+FSM!AQ20/FSM!AP20-1</f>
        <v>0.16152167807997242</v>
      </c>
      <c r="AR8" s="27">
        <f>+FSM!AR20/FSM!AQ20-1</f>
        <v>0.27259708376729663</v>
      </c>
      <c r="AS8" s="27">
        <f>+FSM!AS20/FSM!AR20-1</f>
        <v>0.14181951041286078</v>
      </c>
      <c r="AT8" s="27">
        <f>+FSM!AT20/FSM!AS20-1</f>
        <v>9.0504166186691215E-2</v>
      </c>
      <c r="AU8" s="27">
        <f>+FSM!AU20/FSM!AT20-1</f>
        <v>0.12874413145539898</v>
      </c>
      <c r="AV8" s="30">
        <v>4.5999999999999999E-2</v>
      </c>
      <c r="AW8" s="30">
        <v>5.5E-2</v>
      </c>
      <c r="AX8" s="30">
        <v>4.5999999999999999E-2</v>
      </c>
      <c r="AY8" s="30">
        <v>4.2999999999999997E-2</v>
      </c>
      <c r="AZ8" s="30">
        <v>4.2999999999999997E-2</v>
      </c>
      <c r="BA8" s="2"/>
    </row>
    <row r="9" spans="2:53" x14ac:dyDescent="0.25">
      <c r="B9" t="s">
        <v>27</v>
      </c>
      <c r="C9" s="27">
        <f>+FSM!C25/FSM!C21</f>
        <v>0.37991934527339583</v>
      </c>
      <c r="D9" s="27">
        <f>+FSM!D25/FSM!D21</f>
        <v>0.37612686374213566</v>
      </c>
      <c r="E9" s="27">
        <f>+FSM!E25/FSM!E21</f>
        <v>0.37590365923916075</v>
      </c>
      <c r="F9" s="27">
        <f>+FSM!F25/FSM!F21</f>
        <v>0.36981281725888326</v>
      </c>
      <c r="G9" s="27">
        <f>+FSM!G25/FSM!G21</f>
        <v>0.38354806739345887</v>
      </c>
      <c r="H9" s="27">
        <f>+FSM!H25/FSM!H21</f>
        <v>0.38361943305952362</v>
      </c>
      <c r="I9" s="27">
        <f>+FSM!I25/FSM!I21</f>
        <v>0.37999497361146017</v>
      </c>
      <c r="J9" s="27">
        <f>+FSM!J25/FSM!J21</f>
        <v>0.38160375900336951</v>
      </c>
      <c r="K9" s="27">
        <f>+FSM!K25/FSM!K21</f>
        <v>0.39777815665969724</v>
      </c>
      <c r="L9" s="27">
        <f>+FSM!L25/FSM!L21</f>
        <v>0.42506474370423292</v>
      </c>
      <c r="M9" s="27">
        <f>+FSM!M25/FSM!M21</f>
        <v>0.43292727853230839</v>
      </c>
      <c r="N9" s="27">
        <f>+FSM!N25/FSM!N21</f>
        <v>0.42195297504798462</v>
      </c>
      <c r="O9" s="27">
        <f>+FSM!O25/FSM!O21</f>
        <v>0.43763766186615033</v>
      </c>
      <c r="P9" s="27">
        <f>+FSM!P25/FSM!P21</f>
        <v>0.43749871502292398</v>
      </c>
      <c r="Q9" s="27">
        <f>+FSM!Q25/FSM!Q21</f>
        <v>0.43256307332537758</v>
      </c>
      <c r="R9" s="27">
        <f>+FSM!R25/FSM!R21</f>
        <v>0.4225922392563175</v>
      </c>
      <c r="S9" s="27">
        <f>+FSM!S25/FSM!S21</f>
        <v>0.42962254809908323</v>
      </c>
      <c r="T9" s="27">
        <f>+FSM!T25/FSM!T21</f>
        <v>0.44261672782487665</v>
      </c>
      <c r="U9" s="27">
        <f>+FSM!U25/FSM!U21</f>
        <v>0.44516302553883397</v>
      </c>
      <c r="V9" s="27">
        <f>+FSM!V25/FSM!V21</f>
        <v>0.45170841806520817</v>
      </c>
      <c r="W9" s="27">
        <f>+FSM!W25/FSM!W21</f>
        <v>0.45874973865774621</v>
      </c>
      <c r="X9" s="27">
        <f>+FSM!X25/FSM!X21</f>
        <v>0.46578074554009236</v>
      </c>
      <c r="Y9" s="27">
        <f>+FSM!Y25/FSM!Y21</f>
        <v>0.46257155181458898</v>
      </c>
      <c r="Z9" s="27">
        <f>+FSM!Z25/FSM!Z21</f>
        <v>0.4622247972190035</v>
      </c>
      <c r="AA9" s="27">
        <v>0.46200000000000002</v>
      </c>
      <c r="AB9" s="27">
        <v>0.46200000000000002</v>
      </c>
      <c r="AC9" s="27">
        <v>0.46200000000000002</v>
      </c>
      <c r="AD9" s="27">
        <v>0.46200000000000002</v>
      </c>
      <c r="AG9" s="27">
        <f>+FSM!AG25/FSM!AG21</f>
        <v>0.39377539287083174</v>
      </c>
      <c r="AH9" s="27">
        <f>+FSM!AH25/FSM!AH21</f>
        <v>0.40478895878945764</v>
      </c>
      <c r="AI9" s="27">
        <f>+FSM!AI25/FSM!AI21</f>
        <v>0.43871239808827661</v>
      </c>
      <c r="AJ9" s="27">
        <f>+FSM!AJ25/FSM!AJ21</f>
        <v>0.37624480720847231</v>
      </c>
      <c r="AK9" s="27">
        <f>+FSM!AK25/FSM!AK21</f>
        <v>0.38588035777783858</v>
      </c>
      <c r="AL9" s="27">
        <f>+FSM!AL25/FSM!AL21</f>
        <v>0.40059902017414373</v>
      </c>
      <c r="AM9" s="27">
        <f>+FSM!AM25/FSM!AM21</f>
        <v>0.39075955648097049</v>
      </c>
      <c r="AN9" s="27">
        <f>+FSM!AN25/FSM!AN21</f>
        <v>0.38469860491899105</v>
      </c>
      <c r="AO9" s="27">
        <f>+FSM!AO25/FSM!AO21</f>
        <v>0.38343718820007905</v>
      </c>
      <c r="AP9" s="27">
        <f>+FSM!AP25/FSM!AP21</f>
        <v>0.37817768109034722</v>
      </c>
      <c r="AQ9" s="27">
        <f>+FSM!AQ25/FSM!AQ21</f>
        <v>0.38233247727810865</v>
      </c>
      <c r="AR9" s="27">
        <f>+FSM!AR25/FSM!AR21</f>
        <v>0.41779359625167778</v>
      </c>
      <c r="AS9" s="27">
        <f>+FSM!AS25/FSM!AS21</f>
        <v>0.43309630561360085</v>
      </c>
      <c r="AT9" s="27">
        <f>+FSM!AT25/FSM!AT21</f>
        <v>0.44131129577207562</v>
      </c>
      <c r="AU9" s="27">
        <f>+FSM!AU25/FSM!AU21</f>
        <v>0.46206349815233932</v>
      </c>
      <c r="AV9" s="27">
        <v>0.46206349815233932</v>
      </c>
      <c r="AW9" s="27">
        <v>0.46206349815233932</v>
      </c>
      <c r="AX9" s="27">
        <v>0.46206349815233932</v>
      </c>
      <c r="AY9" s="27">
        <v>0.46206349815233932</v>
      </c>
      <c r="AZ9" s="27">
        <v>0.46206349815233932</v>
      </c>
      <c r="BA9" s="2"/>
    </row>
    <row r="10" spans="2:53" s="10" customFormat="1" x14ac:dyDescent="0.25">
      <c r="B10" s="10" t="s">
        <v>28</v>
      </c>
      <c r="C10" s="29">
        <f>(FSM!C20-FSM!C23)/FSM!C20</f>
        <v>0.62841379310344825</v>
      </c>
      <c r="D10" s="29">
        <f>(FSM!D20-FSM!D23)/FSM!D20</f>
        <v>0.63781659388646283</v>
      </c>
      <c r="E10" s="29">
        <f>(FSM!E20-FSM!E23)/FSM!E20</f>
        <v>0.64129201222173726</v>
      </c>
      <c r="F10" s="29">
        <f>(FSM!F20-FSM!F23)/FSM!F20</f>
        <v>0.64119574774198707</v>
      </c>
      <c r="G10" s="29">
        <f>(FSM!G20-FSM!G23)/FSM!G20</f>
        <v>0.64396382225717652</v>
      </c>
      <c r="H10" s="29">
        <f>(FSM!H20-FSM!H23)/FSM!H20</f>
        <v>0.65373089601438417</v>
      </c>
      <c r="I10" s="29">
        <f>(FSM!I20-FSM!I23)/FSM!I20</f>
        <v>0.67224080267558528</v>
      </c>
      <c r="J10" s="29">
        <f>(FSM!J20-FSM!J23)/FSM!J20</f>
        <v>0.66925561894288266</v>
      </c>
      <c r="K10" s="29">
        <f>(FSM!K20-FSM!K23)/FSM!K20</f>
        <v>0.6839667533785927</v>
      </c>
      <c r="L10" s="29">
        <f>(FSM!L20-FSM!L23)/FSM!L20</f>
        <v>0.70072776758771671</v>
      </c>
      <c r="M10" s="29">
        <f>(FSM!M20-FSM!M23)/FSM!M20</f>
        <v>0.69804414960539862</v>
      </c>
      <c r="N10" s="29">
        <f>(FSM!N20-FSM!N23)/FSM!N20</f>
        <v>0.704765552333534</v>
      </c>
      <c r="O10" s="29">
        <f>(FSM!O20-FSM!O23)/FSM!O20</f>
        <v>0.72366263578602175</v>
      </c>
      <c r="P10" s="29">
        <f>(FSM!P20-FSM!P23)/FSM!P20</f>
        <v>0.72609858231168967</v>
      </c>
      <c r="Q10" s="29">
        <f>(FSM!Q20-FSM!Q23)/FSM!Q20</f>
        <v>0.71490512140379514</v>
      </c>
      <c r="R10" s="29">
        <f>(FSM!R20-FSM!R23)/FSM!R20</f>
        <v>0.70481550969355844</v>
      </c>
      <c r="S10" s="29">
        <f>(FSM!S20-FSM!S23)/FSM!S20</f>
        <v>0.70832129442357705</v>
      </c>
      <c r="T10" s="29">
        <f>(FSM!T20-FSM!T23)/FSM!T20</f>
        <v>0.70990577318601422</v>
      </c>
      <c r="U10" s="29">
        <f>(FSM!U20-FSM!U23)/FSM!U20</f>
        <v>0.70546363079243857</v>
      </c>
      <c r="V10" s="29">
        <f>(FSM!V20-FSM!V23)/FSM!V20</f>
        <v>0.70937528009321504</v>
      </c>
      <c r="W10" s="29">
        <f>(FSM!W20-FSM!W23)/FSM!W20</f>
        <v>0.728338452221309</v>
      </c>
      <c r="X10" s="29">
        <f>(FSM!X20-FSM!X23)/FSM!X20</f>
        <v>0.74617672937528801</v>
      </c>
      <c r="Y10" s="29">
        <f>(FSM!Y20-FSM!Y23)/FSM!Y20</f>
        <v>0.73997439392062114</v>
      </c>
      <c r="Z10" s="29">
        <f>(FSM!Z20-FSM!Z23)/FSM!Z20</f>
        <v>0.74030914624379307</v>
      </c>
      <c r="AA10" s="29">
        <v>0.73899999999999999</v>
      </c>
      <c r="AB10" s="29">
        <v>0.73899999999999999</v>
      </c>
      <c r="AC10" s="29">
        <v>0.73899999999999999</v>
      </c>
      <c r="AD10" s="29">
        <v>0.73899999999999999</v>
      </c>
      <c r="AG10" s="29"/>
      <c r="AH10" s="29"/>
      <c r="AI10" s="29"/>
      <c r="AJ10" s="29"/>
      <c r="AK10" s="29"/>
      <c r="AL10" s="29"/>
      <c r="AM10" s="29"/>
      <c r="AN10" s="29"/>
      <c r="AO10" s="29">
        <f>(FSM!AO20-FSM!AO23)/FSM!AO20</f>
        <v>0.60772869075173597</v>
      </c>
      <c r="AP10" s="29">
        <f>(FSM!AP20-FSM!AP23)/FSM!AP20</f>
        <v>0.63738091637683347</v>
      </c>
      <c r="AQ10" s="29">
        <f>(FSM!AQ20-FSM!AQ23)/FSM!AQ20</f>
        <v>0.66015101919357233</v>
      </c>
      <c r="AR10" s="29">
        <f>(FSM!AR20-FSM!AR23)/FSM!AR20</f>
        <v>0.69725977347460721</v>
      </c>
      <c r="AS10" s="29">
        <f>(FSM!AS20-FSM!AS23)/FSM!AS20</f>
        <v>0.71745446633132381</v>
      </c>
      <c r="AT10" s="29">
        <f>(FSM!AT20-FSM!AT23)/FSM!AT20</f>
        <v>0.70827464788732397</v>
      </c>
      <c r="AU10" s="29">
        <f>(FSM!AU20-FSM!AU23)/FSM!AU20</f>
        <v>0.7388035645582256</v>
      </c>
      <c r="AV10" s="29">
        <v>0.7388035645582256</v>
      </c>
      <c r="AW10" s="29">
        <v>0.7388035645582256</v>
      </c>
      <c r="AX10" s="29">
        <v>0.7388035645582256</v>
      </c>
      <c r="AY10" s="29">
        <v>0.7388035645582256</v>
      </c>
      <c r="AZ10" s="29">
        <v>0.7388035645582256</v>
      </c>
      <c r="BA10" s="16"/>
    </row>
    <row r="11" spans="2:53" s="10" customFormat="1" x14ac:dyDescent="0.25">
      <c r="B11" s="10" t="s">
        <v>29</v>
      </c>
      <c r="C11" s="29">
        <f>(FSM!C20-FSM!C23)/FSM!C20</f>
        <v>0.62841379310344825</v>
      </c>
      <c r="D11" s="29">
        <f>(FSM!D20-FSM!D23)/FSM!D20</f>
        <v>0.63781659388646283</v>
      </c>
      <c r="E11" s="29">
        <f>(FSM!E20-FSM!E23)/FSM!E20</f>
        <v>0.64129201222173726</v>
      </c>
      <c r="F11" s="29">
        <f>(FSM!F20-FSM!F23)/FSM!F20</f>
        <v>0.64119574774198707</v>
      </c>
      <c r="G11" s="29">
        <f>(FSM!G20-FSM!G23)/FSM!G20</f>
        <v>0.64396382225717652</v>
      </c>
      <c r="H11" s="29">
        <f>(FSM!H20-FSM!H23)/FSM!H20</f>
        <v>0.65373089601438417</v>
      </c>
      <c r="I11" s="29">
        <f>(FSM!I20-FSM!I23)/FSM!I20</f>
        <v>0.67224080267558528</v>
      </c>
      <c r="J11" s="29">
        <f>(FSM!J20-FSM!J23)/FSM!J20</f>
        <v>0.66925561894288266</v>
      </c>
      <c r="K11" s="29">
        <f>(FSM!K20-FSM!K23)/FSM!K20</f>
        <v>0.6839667533785927</v>
      </c>
      <c r="L11" s="29">
        <f>(FSM!L20-FSM!L23)/FSM!L20</f>
        <v>0.70072776758771671</v>
      </c>
      <c r="M11" s="29">
        <f>(FSM!M20-FSM!M23)/FSM!M20</f>
        <v>0.69804414960539862</v>
      </c>
      <c r="N11" s="29">
        <f>(FSM!N20-FSM!N23)/FSM!N20</f>
        <v>0.704765552333534</v>
      </c>
      <c r="O11" s="29">
        <f>(FSM!O20-FSM!O23)/FSM!O20</f>
        <v>0.72366263578602175</v>
      </c>
      <c r="P11" s="29">
        <f>(FSM!P20-FSM!P23)/FSM!P20</f>
        <v>0.72609858231168967</v>
      </c>
      <c r="Q11" s="29">
        <f>(FSM!Q20-FSM!Q23)/FSM!Q20</f>
        <v>0.71490512140379514</v>
      </c>
      <c r="R11" s="29">
        <f>(FSM!R20-FSM!R23)/FSM!R20</f>
        <v>0.70481550969355844</v>
      </c>
      <c r="S11" s="29">
        <f>(FSM!S20-FSM!S23)/FSM!S20</f>
        <v>0.70832129442357705</v>
      </c>
      <c r="T11" s="29">
        <f>(FSM!T20-FSM!T23)/FSM!T20</f>
        <v>0.70990577318601422</v>
      </c>
      <c r="U11" s="29">
        <f>(FSM!U20-FSM!U23)/FSM!U20</f>
        <v>0.70546363079243857</v>
      </c>
      <c r="V11" s="29">
        <f>(FSM!V20-FSM!V23)/FSM!V20</f>
        <v>0.70937528009321504</v>
      </c>
      <c r="W11" s="29">
        <f>(FSM!W20-FSM!W23)/FSM!W20</f>
        <v>0.728338452221309</v>
      </c>
      <c r="X11" s="29">
        <f>(FSM!X20-FSM!X23)/FSM!X20</f>
        <v>0.74617672937528801</v>
      </c>
      <c r="Y11" s="29">
        <f>(FSM!Y20-FSM!Y23)/FSM!Y20</f>
        <v>0.73997439392062114</v>
      </c>
      <c r="Z11" s="29">
        <f>(FSM!Z20-FSM!Z23)/FSM!Z20</f>
        <v>0.74030914624379307</v>
      </c>
      <c r="AA11" s="29">
        <v>0.372</v>
      </c>
      <c r="AB11" s="29">
        <v>0.372</v>
      </c>
      <c r="AC11" s="29">
        <v>0.372</v>
      </c>
      <c r="AD11" s="29">
        <v>0.372</v>
      </c>
      <c r="AG11" s="29"/>
      <c r="AH11" s="29"/>
      <c r="AI11" s="29"/>
      <c r="AJ11" s="29"/>
      <c r="AK11" s="29"/>
      <c r="AL11" s="29"/>
      <c r="AM11" s="29"/>
      <c r="AN11" s="29"/>
      <c r="AO11" s="29">
        <f>(FSM!AO19-FSM!AO22)/FSM!AO19</f>
        <v>0.34396294836770025</v>
      </c>
      <c r="AP11" s="29">
        <f>(FSM!AP19-FSM!AP22)/FSM!AP19</f>
        <v>0.32207795851002652</v>
      </c>
      <c r="AQ11" s="29">
        <f>(FSM!AQ19-FSM!AQ22)/FSM!AQ19</f>
        <v>0.31466339293399231</v>
      </c>
      <c r="AR11" s="29">
        <f>(FSM!AR19-FSM!AR22)/FSM!AR19</f>
        <v>0.35349303276483562</v>
      </c>
      <c r="AS11" s="29">
        <f>(FSM!AS19-FSM!AS22)/FSM!AS19</f>
        <v>0.36283479707399452</v>
      </c>
      <c r="AT11" s="29">
        <f>(FSM!AT19-FSM!AT22)/FSM!AT19</f>
        <v>0.36500662562691849</v>
      </c>
      <c r="AU11" s="29">
        <f>(FSM!AU19-FSM!AU22)/FSM!AU19</f>
        <v>0.37180617636485724</v>
      </c>
      <c r="AV11" s="29">
        <v>0.37180617636485724</v>
      </c>
      <c r="AW11" s="29">
        <v>0.37180617636485724</v>
      </c>
      <c r="AX11" s="29">
        <v>0.37180617636485724</v>
      </c>
      <c r="AY11" s="29">
        <v>0.37180617636485724</v>
      </c>
      <c r="AZ11" s="29">
        <v>0.37180617636485724</v>
      </c>
      <c r="BA11" s="16"/>
    </row>
    <row r="12" spans="2:53" x14ac:dyDescent="0.25">
      <c r="B12" t="s">
        <v>30</v>
      </c>
      <c r="C12" s="27">
        <f>(FSM!C21-FSM!C29)/FSM!C21</f>
        <v>0.62008065472660423</v>
      </c>
      <c r="D12" s="27">
        <f>(FSM!D21-FSM!D29)/FSM!D21</f>
        <v>0.62387313625786434</v>
      </c>
      <c r="E12" s="27">
        <f>(FSM!E21-FSM!E29)/FSM!E21</f>
        <v>0.62409634076083931</v>
      </c>
      <c r="F12" s="27">
        <f>(FSM!F21-FSM!F29)/FSM!F21</f>
        <v>0.63018718274111674</v>
      </c>
      <c r="G12" s="27">
        <f>(FSM!G21-FSM!G29)/FSM!G21</f>
        <v>0.72152822400592465</v>
      </c>
      <c r="H12" s="27">
        <f>(FSM!H21-FSM!H29)/FSM!H21</f>
        <v>0.77958602712945657</v>
      </c>
      <c r="I12" s="27">
        <f>(FSM!I21-FSM!I29)/FSM!I21</f>
        <v>0.78066515875010467</v>
      </c>
      <c r="J12" s="27">
        <f>(FSM!J21-FSM!J29)/FSM!J21</f>
        <v>0.77163127144579435</v>
      </c>
      <c r="K12" s="27">
        <f>(FSM!K21-FSM!K29)/FSM!K21</f>
        <v>0.69908200899146622</v>
      </c>
      <c r="L12" s="27">
        <f>(FSM!L21-FSM!L29)/FSM!L21</f>
        <v>0.69299205215217008</v>
      </c>
      <c r="M12" s="27">
        <f>(FSM!M21-FSM!M29)/FSM!M21</f>
        <v>0.70373554043765507</v>
      </c>
      <c r="N12" s="27">
        <f>(FSM!N21-FSM!N29)/FSM!N21</f>
        <v>0.7146593090211133</v>
      </c>
      <c r="O12" s="27">
        <f>(FSM!O21-FSM!O29)/FSM!O21</f>
        <v>0.66527088628020492</v>
      </c>
      <c r="P12" s="27">
        <f>(FSM!P21-FSM!P29)/FSM!P21</f>
        <v>0.69182137790661813</v>
      </c>
      <c r="Q12" s="27">
        <f>(FSM!Q21-FSM!Q29)/FSM!Q21</f>
        <v>0.72183849853542115</v>
      </c>
      <c r="R12" s="27">
        <f>(FSM!R21-FSM!R29)/FSM!R21</f>
        <v>0.72384797994364702</v>
      </c>
      <c r="S12" s="27">
        <f>(FSM!S21-FSM!S29)/FSM!S21</f>
        <v>0.69257558427369104</v>
      </c>
      <c r="T12" s="27">
        <f>(FSM!T21-FSM!T29)/FSM!T21</f>
        <v>0.70140031211776122</v>
      </c>
      <c r="U12" s="27">
        <f>(FSM!U21-FSM!U29)/FSM!U21</f>
        <v>0.71884054427423993</v>
      </c>
      <c r="V12" s="27">
        <f>(FSM!V21-FSM!V29)/FSM!V21</f>
        <v>0.69866365728843105</v>
      </c>
      <c r="W12" s="27">
        <f>(FSM!W21-FSM!W29)/FSM!W21</f>
        <v>0.66236253397449296</v>
      </c>
      <c r="X12" s="27">
        <f>(FSM!X21-FSM!X29)/FSM!X21</f>
        <v>0.69257214637532638</v>
      </c>
      <c r="Y12" s="27">
        <f>(FSM!Y21-FSM!Y29)/FSM!Y21</f>
        <v>0.70444291593317554</v>
      </c>
      <c r="Z12" s="27">
        <f>(FSM!Z21-FSM!Z29)/FSM!Z21</f>
        <v>0.68828610555145897</v>
      </c>
      <c r="AA12" s="27">
        <v>0.61099999999999999</v>
      </c>
      <c r="AB12" s="27">
        <v>0.61099999999999999</v>
      </c>
      <c r="AC12" s="27">
        <v>0.61099999999999999</v>
      </c>
      <c r="AD12" s="27">
        <v>0.61099999999999999</v>
      </c>
      <c r="AG12" s="27">
        <f>(FSM!AG21-FSM!AG29)/FSM!AG21</f>
        <v>0.71812955155231895</v>
      </c>
      <c r="AH12" s="27">
        <f>(FSM!AH21-FSM!AH29)/FSM!AH21</f>
        <v>0.68784931038623909</v>
      </c>
      <c r="AI12" s="27">
        <f>(FSM!AI21-FSM!AI29)/FSM!AI21</f>
        <v>0.64704040688015951</v>
      </c>
      <c r="AJ12" s="27">
        <f>(FSM!AJ21-FSM!AJ29)/FSM!AJ21</f>
        <v>0.71330524837633846</v>
      </c>
      <c r="AK12" s="27">
        <f>(FSM!AK21-FSM!AK29)/FSM!AK21</f>
        <v>0.71277660767526463</v>
      </c>
      <c r="AL12" s="27">
        <f>(FSM!AL21-FSM!AL29)/FSM!AL21</f>
        <v>0.69522709282673345</v>
      </c>
      <c r="AM12" s="27">
        <f>(FSM!AM21-FSM!AM29)/FSM!AM21</f>
        <v>0.72164589893293885</v>
      </c>
      <c r="AN12" s="27">
        <f>(FSM!AN21-FSM!AN29)/FSM!AN21</f>
        <v>0.73239571791270053</v>
      </c>
      <c r="AO12" s="27">
        <f>(FSM!AO21-FSM!AO29)/FSM!AO21</f>
        <v>0.73305973380522982</v>
      </c>
      <c r="AP12" s="27">
        <f>(FSM!AP21-FSM!AP29)/FSM!AP21</f>
        <v>0.75427982811503069</v>
      </c>
      <c r="AQ12" s="27">
        <f>(FSM!AQ21-FSM!AQ29)/FSM!AQ21</f>
        <v>0.75852685645593132</v>
      </c>
      <c r="AR12" s="27">
        <f>(FSM!AR21-FSM!AR29)/FSM!AR21</f>
        <v>0.70217622472438401</v>
      </c>
      <c r="AS12" s="27">
        <f>(FSM!AS21-FSM!AS29)/FSM!AS21</f>
        <v>0.697112556044714</v>
      </c>
      <c r="AT12" s="27">
        <f>(FSM!AT21-FSM!AT29)/FSM!AT21</f>
        <v>0.70178587734975284</v>
      </c>
      <c r="AU12" s="27">
        <f>(FSM!AU21-FSM!AU29)/FSM!AU21</f>
        <v>0.68489777129924434</v>
      </c>
      <c r="AV12" s="27">
        <f>(FSM!AV21-FSM!AV29)/FSM!AV21</f>
        <v>0.61158534849645341</v>
      </c>
      <c r="AW12" s="27">
        <f>(FSM!AW21-FSM!AW29)/FSM!AW21</f>
        <v>0.61405836084180687</v>
      </c>
      <c r="AX12" s="27">
        <f>(FSM!AX21-FSM!AX29)/FSM!AX21</f>
        <v>0.61596803922821919</v>
      </c>
      <c r="AY12" s="27">
        <f>(FSM!AY21-FSM!AY29)/FSM!AY21</f>
        <v>0.61819367034212747</v>
      </c>
      <c r="AZ12" s="27">
        <f>(FSM!AZ21-FSM!AZ29)/FSM!AZ21</f>
        <v>0.62039963317659785</v>
      </c>
      <c r="BA12" s="2"/>
    </row>
    <row r="13" spans="2:53" x14ac:dyDescent="0.25">
      <c r="B13" s="10" t="s">
        <v>128</v>
      </c>
      <c r="C13" s="27"/>
      <c r="D13" s="27"/>
      <c r="E13" s="27"/>
      <c r="F13" s="27"/>
      <c r="G13" s="27">
        <f>FSM!G26/FSM!G21</f>
        <v>4.8475805661137676E-2</v>
      </c>
      <c r="H13" s="27">
        <f>FSM!H26/FSM!H21</f>
        <v>7.828443057294257E-2</v>
      </c>
      <c r="I13" s="27">
        <f>FSM!I26/FSM!I21</f>
        <v>7.9718522241769285E-2</v>
      </c>
      <c r="J13" s="27">
        <f>FSM!J26/FSM!J21</f>
        <v>7.694210021948128E-2</v>
      </c>
      <c r="K13" s="27">
        <f>FSM!K26/FSM!K21</f>
        <v>4.6330279345650982E-2</v>
      </c>
      <c r="L13" s="27">
        <f>FSM!L26/FSM!L21</f>
        <v>5.8738167529916056E-2</v>
      </c>
      <c r="M13" s="27">
        <f>FSM!M26/FSM!M21</f>
        <v>7.0204091657047427E-2</v>
      </c>
      <c r="N13" s="27">
        <f>FSM!N26/FSM!N21</f>
        <v>6.9241842610364687E-2</v>
      </c>
      <c r="O13" s="27">
        <f>FSM!O26/FSM!O21</f>
        <v>5.0877405300738233E-2</v>
      </c>
      <c r="P13" s="27">
        <f>FSM!P26/FSM!P21</f>
        <v>6.5657188675754027E-2</v>
      </c>
      <c r="Q13" s="27">
        <f>FSM!Q26/FSM!Q21</f>
        <v>8.1932038717920902E-2</v>
      </c>
      <c r="R13" s="27">
        <f>FSM!R26/FSM!R21</f>
        <v>7.5000554655780621E-2</v>
      </c>
      <c r="S13" s="27">
        <f>FSM!S26/FSM!S21</f>
        <v>6.5802277344350166E-2</v>
      </c>
      <c r="T13" s="27">
        <f>FSM!T26/FSM!T21</f>
        <v>7.863047787759922E-2</v>
      </c>
      <c r="U13" s="27">
        <f>FSM!U26/FSM!U21</f>
        <v>9.0981331833685827E-2</v>
      </c>
      <c r="V13" s="27">
        <f>FSM!V26/FSM!V21</f>
        <v>8.1644282553800088E-2</v>
      </c>
      <c r="W13" s="27">
        <f>FSM!W26/FSM!W21</f>
        <v>6.4361279531674684E-2</v>
      </c>
      <c r="X13" s="27">
        <f>FSM!X26/FSM!X21</f>
        <v>8.7082520688021331E-2</v>
      </c>
      <c r="Y13" s="27">
        <f>FSM!Y26/FSM!Y21</f>
        <v>9.3335043193396833E-2</v>
      </c>
      <c r="Z13" s="27">
        <f>FSM!Z26/FSM!Z21</f>
        <v>8.1797113662698831E-2</v>
      </c>
      <c r="AA13" s="27">
        <v>0.08</v>
      </c>
      <c r="AB13" s="27">
        <v>0.08</v>
      </c>
      <c r="AC13" s="27">
        <v>0.08</v>
      </c>
      <c r="AD13" s="27">
        <v>0.08</v>
      </c>
      <c r="AG13" s="27">
        <f>FSM!AG26/FSM!AG21</f>
        <v>2.7320812571866616E-2</v>
      </c>
      <c r="AH13" s="27">
        <f>FSM!AH26/FSM!AH21</f>
        <v>2.2439006364954873E-2</v>
      </c>
      <c r="AI13" s="27">
        <f>FSM!AI26/FSM!AI21</f>
        <v>2.1602729572929181E-2</v>
      </c>
      <c r="AJ13" s="27">
        <f>FSM!AJ26/FSM!AJ21</f>
        <v>2.6183371365045931E-2</v>
      </c>
      <c r="AK13" s="27">
        <f>FSM!AK26/FSM!AK21</f>
        <v>3.3047949889220163E-2</v>
      </c>
      <c r="AL13" s="27">
        <f>FSM!AL26/FSM!AL21</f>
        <v>3.4516398177267184E-2</v>
      </c>
      <c r="AM13" s="27">
        <f>FSM!AM26/FSM!AM21</f>
        <v>4.6582482760539605E-2</v>
      </c>
      <c r="AN13" s="27">
        <f>FSM!AN26/FSM!AN21</f>
        <v>5.0520428906706681E-2</v>
      </c>
      <c r="AO13" s="27">
        <f>FSM!AO26/FSM!AO21</f>
        <v>5.3600406634161032E-2</v>
      </c>
      <c r="AP13" s="27">
        <f>FSM!AP26/FSM!AP21</f>
        <v>6.233136285716482E-2</v>
      </c>
      <c r="AQ13" s="27">
        <f>FSM!AQ26/FSM!AQ21</f>
        <v>6.8309564140393061E-2</v>
      </c>
      <c r="AR13" s="27">
        <f>FSM!AR26/FSM!AR21</f>
        <v>5.9904269074427925E-2</v>
      </c>
      <c r="AS13" s="27">
        <f>FSM!AS26/FSM!AS21</f>
        <v>6.657148363798665E-2</v>
      </c>
      <c r="AT13" s="27">
        <f>FSM!AT26/FSM!AT21</f>
        <v>7.8048971392045086E-2</v>
      </c>
      <c r="AU13" s="27">
        <f>FSM!AU26/FSM!AU21</f>
        <v>8.0222997941360744E-2</v>
      </c>
      <c r="AV13" s="27">
        <v>0.08</v>
      </c>
      <c r="AW13" s="27">
        <v>0.08</v>
      </c>
      <c r="AX13" s="27">
        <v>0.08</v>
      </c>
      <c r="AY13" s="27">
        <v>0.08</v>
      </c>
      <c r="AZ13" s="27">
        <v>0.08</v>
      </c>
      <c r="BA13" s="2"/>
    </row>
    <row r="14" spans="2:53" x14ac:dyDescent="0.25">
      <c r="B14" s="10" t="s">
        <v>129</v>
      </c>
      <c r="C14" s="27"/>
      <c r="D14" s="27"/>
      <c r="E14" s="27"/>
      <c r="F14" s="27"/>
      <c r="G14" s="27">
        <f>FSM!G27/FSM!G21</f>
        <v>5.6600485738245894E-2</v>
      </c>
      <c r="H14" s="27">
        <f>FSM!H27/FSM!H21</f>
        <v>8.4921029616037591E-2</v>
      </c>
      <c r="I14" s="27">
        <f>FSM!I27/FSM!I21</f>
        <v>8.0941610119795587E-2</v>
      </c>
      <c r="J14" s="27">
        <f>FSM!J27/FSM!J21</f>
        <v>7.6292930229682532E-2</v>
      </c>
      <c r="K14" s="27">
        <f>FSM!K27/FSM!K21</f>
        <v>5.0529886305512431E-2</v>
      </c>
      <c r="L14" s="27">
        <f>FSM!L27/FSM!L21</f>
        <v>5.9318628326486871E-2</v>
      </c>
      <c r="M14" s="27">
        <f>FSM!M27/FSM!M21</f>
        <v>6.645872731291598E-2</v>
      </c>
      <c r="N14" s="27">
        <f>FSM!N27/FSM!N21</f>
        <v>6.7370441458733207E-2</v>
      </c>
      <c r="O14" s="27">
        <f>FSM!O27/FSM!O21</f>
        <v>5.2031142845617009E-2</v>
      </c>
      <c r="P14" s="27">
        <f>FSM!P27/FSM!P21</f>
        <v>6.3662904253788108E-2</v>
      </c>
      <c r="Q14" s="27">
        <f>FSM!Q27/FSM!Q21</f>
        <v>7.2469533142877809E-2</v>
      </c>
      <c r="R14" s="27">
        <f>FSM!R27/FSM!R21</f>
        <v>7.1439664544183878E-2</v>
      </c>
      <c r="S14" s="27">
        <f>FSM!S27/FSM!S21</f>
        <v>5.6395855028424126E-2</v>
      </c>
      <c r="T14" s="27">
        <f>FSM!T27/FSM!T21</f>
        <v>6.5386562065038595E-2</v>
      </c>
      <c r="U14" s="27">
        <f>FSM!U27/FSM!U21</f>
        <v>7.3022237979387991E-2</v>
      </c>
      <c r="V14" s="27">
        <f>FSM!V27/FSM!V21</f>
        <v>6.8727792799839107E-2</v>
      </c>
      <c r="W14" s="27">
        <f>FSM!W27/FSM!W21</f>
        <v>5.6750993100564501E-2</v>
      </c>
      <c r="X14" s="27">
        <f>FSM!X27/FSM!X21</f>
        <v>7.1270371227397447E-2</v>
      </c>
      <c r="Y14" s="27">
        <f>FSM!Y27/FSM!Y21</f>
        <v>7.3679424554367726E-2</v>
      </c>
      <c r="Z14" s="27">
        <f>FSM!Z27/FSM!Z21</f>
        <v>6.8713789107763615E-2</v>
      </c>
      <c r="AA14" s="27">
        <v>6.7000000000000004E-2</v>
      </c>
      <c r="AB14" s="27">
        <v>6.7000000000000004E-2</v>
      </c>
      <c r="AC14" s="27">
        <v>6.7000000000000004E-2</v>
      </c>
      <c r="AD14" s="27">
        <v>6.7000000000000004E-2</v>
      </c>
      <c r="AG14" s="27">
        <f>FSM!AG27/FSM!AG21</f>
        <v>8.4584131851284022E-2</v>
      </c>
      <c r="AH14" s="27">
        <f>FSM!AH27/FSM!AH21</f>
        <v>7.0199262810741903E-2</v>
      </c>
      <c r="AI14" s="27">
        <f>FSM!AI27/FSM!AI21</f>
        <v>6.4150075395506934E-2</v>
      </c>
      <c r="AJ14" s="27">
        <f>FSM!AJ27/FSM!AJ21</f>
        <v>6.3366684219764782E-2</v>
      </c>
      <c r="AK14" s="27">
        <f>FSM!AK27/FSM!AK21</f>
        <v>6.5609015563883044E-2</v>
      </c>
      <c r="AL14" s="27">
        <f>FSM!AL27/FSM!AL21</f>
        <v>6.1309714823609952E-2</v>
      </c>
      <c r="AM14" s="27">
        <f>FSM!AM27/FSM!AM21</f>
        <v>6.5822972653369755E-2</v>
      </c>
      <c r="AN14" s="27">
        <f>FSM!AN27/FSM!AN21</f>
        <v>6.6573893924984945E-2</v>
      </c>
      <c r="AO14" s="27">
        <f>FSM!AO27/FSM!AO21</f>
        <v>6.2896515371147807E-2</v>
      </c>
      <c r="AP14" s="27">
        <f>FSM!AP27/FSM!AP21</f>
        <v>7.0126146348213125E-2</v>
      </c>
      <c r="AQ14" s="27">
        <f>FSM!AQ27/FSM!AQ21</f>
        <v>7.2549769593646979E-2</v>
      </c>
      <c r="AR14" s="27">
        <f>FSM!AR27/FSM!AR21</f>
        <v>6.006555190163388E-2</v>
      </c>
      <c r="AS14" s="27">
        <f>FSM!AS27/FSM!AS21</f>
        <v>6.3637378020328261E-2</v>
      </c>
      <c r="AT14" s="27">
        <f>FSM!AT27/FSM!AT21</f>
        <v>6.5048201729783317E-2</v>
      </c>
      <c r="AU14" s="27">
        <f>FSM!AU27/FSM!AU21</f>
        <v>6.6738271510222866E-2</v>
      </c>
      <c r="AV14" s="27">
        <v>6.7000000000000004E-2</v>
      </c>
      <c r="AW14" s="27">
        <v>6.7000000000000004E-2</v>
      </c>
      <c r="AX14" s="27">
        <v>6.7000000000000004E-2</v>
      </c>
      <c r="AY14" s="27">
        <v>6.7000000000000004E-2</v>
      </c>
      <c r="AZ14" s="27">
        <v>6.7000000000000004E-2</v>
      </c>
      <c r="BA14" s="2"/>
    </row>
    <row r="15" spans="2:53" x14ac:dyDescent="0.25">
      <c r="B15" t="s">
        <v>31</v>
      </c>
      <c r="C15" s="27">
        <f>FSM!C32/FSM!C31</f>
        <v>0</v>
      </c>
      <c r="D15" s="27">
        <f>FSM!D32/FSM!D31</f>
        <v>0</v>
      </c>
      <c r="E15" s="27">
        <f>FSM!E32/FSM!E31</f>
        <v>0</v>
      </c>
      <c r="F15" s="27">
        <f>FSM!F32/FSM!F31</f>
        <v>0</v>
      </c>
      <c r="G15" s="27">
        <f>FSM!G32/FSM!G31</f>
        <v>0.14206343082027933</v>
      </c>
      <c r="H15" s="27">
        <f>FSM!H32/FSM!H31</f>
        <v>0.14358583936048724</v>
      </c>
      <c r="I15" s="27">
        <f>FSM!I32/FSM!I31</f>
        <v>0.14341173783968944</v>
      </c>
      <c r="J15" s="27">
        <f>FSM!J32/FSM!J31</f>
        <v>0.14952016643178309</v>
      </c>
      <c r="K15" s="27">
        <f>FSM!K32/FSM!K31</f>
        <v>0.14366121683194855</v>
      </c>
      <c r="L15" s="27">
        <f>FSM!L32/FSM!L31</f>
        <v>0.1564028417407447</v>
      </c>
      <c r="M15" s="27">
        <f>FSM!M32/FSM!M31</f>
        <v>0.10771882309491568</v>
      </c>
      <c r="N15" s="27">
        <f>FSM!N32/FSM!N31</f>
        <v>0.11600997935306263</v>
      </c>
      <c r="O15" s="27">
        <f>FSM!O32/FSM!O31</f>
        <v>0.16030164157028201</v>
      </c>
      <c r="P15" s="27">
        <f>FSM!P32/FSM!P31</f>
        <v>0.17017817445834302</v>
      </c>
      <c r="Q15" s="27">
        <f>FSM!Q32/FSM!Q31</f>
        <v>0.15711436746726784</v>
      </c>
      <c r="R15" s="27">
        <f>FSM!R32/FSM!R31</f>
        <v>0.15963012531938192</v>
      </c>
      <c r="S15" s="27">
        <f>FSM!S32/FSM!S31</f>
        <v>0.15790360160570419</v>
      </c>
      <c r="T15" s="27">
        <f>FSM!T32/FSM!T31</f>
        <v>0.14875625396377987</v>
      </c>
      <c r="U15" s="27">
        <f>FSM!U32/FSM!U31</f>
        <v>0.12545638499098227</v>
      </c>
      <c r="V15" s="27">
        <f>FSM!V32/FSM!V31</f>
        <v>0.14971479368842136</v>
      </c>
      <c r="W15" s="27">
        <f>FSM!W32/FSM!W31</f>
        <v>0.15889194752374575</v>
      </c>
      <c r="X15" s="27">
        <f>FSM!X32/FSM!X31</f>
        <v>0.1576021099151757</v>
      </c>
      <c r="Y15" s="27">
        <f>FSM!Y32/FSM!Y31</f>
        <v>0.15870400878638111</v>
      </c>
      <c r="Z15" s="27">
        <f>FSM!Z32/FSM!Z31</f>
        <v>0.50233029381965555</v>
      </c>
      <c r="AA15" s="27">
        <v>0.24099999999999999</v>
      </c>
      <c r="AB15" s="27">
        <v>0.24099999999999999</v>
      </c>
      <c r="AC15" s="27">
        <v>0.24099999999999999</v>
      </c>
      <c r="AD15" s="27">
        <v>0.24099999999999999</v>
      </c>
      <c r="AG15" s="27">
        <f>FSM!AG32/FSM!AG31</f>
        <v>0.24417475728155341</v>
      </c>
      <c r="AH15" s="27">
        <f>FSM!AH32/FSM!AH31</f>
        <v>0.24215757930127174</v>
      </c>
      <c r="AI15" s="27">
        <f>FSM!AI32/FSM!AI31</f>
        <v>0.25160052364471064</v>
      </c>
      <c r="AJ15" s="27">
        <f>FSM!AJ32/FSM!AJ31</f>
        <v>0.26154919748778788</v>
      </c>
      <c r="AK15" s="27">
        <f>FSM!AK32/FSM!AK31</f>
        <v>0.26126058747639436</v>
      </c>
      <c r="AL15" s="27">
        <f>FSM!AL32/FSM!AL31</f>
        <v>0.26368337585327173</v>
      </c>
      <c r="AM15" s="27">
        <f>FSM!AM32/FSM!AM31</f>
        <v>0.25557257381216192</v>
      </c>
      <c r="AN15" s="27">
        <f>FSM!AN32/FSM!AN31</f>
        <v>0.24556476150353415</v>
      </c>
      <c r="AO15" s="27">
        <f>FSM!AO32/FSM!AO31</f>
        <v>0.18342180705869443</v>
      </c>
      <c r="AP15" s="27">
        <f>FSM!AP32/FSM!AP31</f>
        <v>0.15943836804235059</v>
      </c>
      <c r="AQ15" s="27">
        <f>FSM!AQ32/FSM!AQ31</f>
        <v>0.14428164731484103</v>
      </c>
      <c r="AR15" s="27">
        <f>FSM!AR32/FSM!AR31</f>
        <v>0.13302260844085087</v>
      </c>
      <c r="AS15" s="27">
        <f>FSM!AS32/FSM!AS31</f>
        <v>0.16204461684424407</v>
      </c>
      <c r="AT15" s="27">
        <f>FSM!AT32/FSM!AT31</f>
        <v>0.14719174228036858</v>
      </c>
      <c r="AU15" s="27">
        <f>FSM!AU32/FSM!AU31</f>
        <v>0.24091185164189982</v>
      </c>
      <c r="AV15" s="27">
        <v>0.24091185164189982</v>
      </c>
      <c r="AW15" s="27">
        <v>0.24091185164189982</v>
      </c>
      <c r="AX15" s="27">
        <v>0.24091185164189982</v>
      </c>
      <c r="AY15" s="27">
        <v>0.24091185164189982</v>
      </c>
      <c r="AZ15" s="27">
        <v>0.24091185164189982</v>
      </c>
      <c r="BA15" s="2"/>
    </row>
    <row r="17" spans="1:52" x14ac:dyDescent="0.25">
      <c r="B17" t="s">
        <v>53</v>
      </c>
    </row>
    <row r="18" spans="1:52" x14ac:dyDescent="0.25">
      <c r="B18" t="s">
        <v>130</v>
      </c>
    </row>
    <row r="20" spans="1:52" s="32" customFormat="1" x14ac:dyDescent="0.25">
      <c r="A20"/>
      <c r="B20" s="31" t="s">
        <v>37</v>
      </c>
    </row>
    <row r="21" spans="1:52" x14ac:dyDescent="0.25">
      <c r="B21" s="7" t="s">
        <v>131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>
        <f>AU24</f>
        <v>45680</v>
      </c>
      <c r="AW21" s="2">
        <f t="shared" ref="AW21:AZ21" si="0">AV24</f>
        <v>46484.588998559375</v>
      </c>
      <c r="AX21" s="2">
        <f t="shared" si="0"/>
        <v>47309.292722082726</v>
      </c>
      <c r="AY21" s="2">
        <f t="shared" si="0"/>
        <v>48154.614038694162</v>
      </c>
      <c r="AZ21" s="2">
        <f t="shared" si="0"/>
        <v>49016.841781637828</v>
      </c>
    </row>
    <row r="22" spans="1:52" x14ac:dyDescent="0.25">
      <c r="B22" s="7" t="s">
        <v>132</v>
      </c>
      <c r="AF22" s="2"/>
      <c r="AG22" s="2"/>
      <c r="AH22" s="2"/>
      <c r="AI22" s="2"/>
      <c r="AJ22" s="2"/>
      <c r="AK22" s="2"/>
      <c r="AL22" s="2"/>
      <c r="AM22" s="2"/>
      <c r="AN22" s="2">
        <v>12451</v>
      </c>
      <c r="AO22" s="2">
        <v>13313</v>
      </c>
      <c r="AP22" s="2">
        <v>10495</v>
      </c>
      <c r="AQ22" s="2">
        <v>7309</v>
      </c>
      <c r="AR22" s="2">
        <v>11085</v>
      </c>
      <c r="AS22" s="2">
        <v>10708</v>
      </c>
      <c r="AT22" s="2">
        <v>10959</v>
      </c>
      <c r="AU22" s="2">
        <v>9447</v>
      </c>
      <c r="AV22" s="2">
        <f>AU22*(1+AV6)</f>
        <v>9635.94</v>
      </c>
      <c r="AW22" s="2">
        <f t="shared" ref="AW22:AZ22" si="1">AV22*(1+AW6)</f>
        <v>9876.8384999999998</v>
      </c>
      <c r="AX22" s="2">
        <f t="shared" si="1"/>
        <v>10123.759462499998</v>
      </c>
      <c r="AY22" s="2">
        <f t="shared" si="1"/>
        <v>10326.234651749999</v>
      </c>
      <c r="AZ22" s="2">
        <f t="shared" si="1"/>
        <v>10532.759344784999</v>
      </c>
    </row>
    <row r="23" spans="1:52" s="34" customFormat="1" x14ac:dyDescent="0.25">
      <c r="A23"/>
      <c r="B23" s="33" t="s">
        <v>133</v>
      </c>
      <c r="AF23" s="35"/>
      <c r="AG23" s="35"/>
      <c r="AH23" s="35"/>
      <c r="AI23" s="35"/>
      <c r="AJ23" s="35"/>
      <c r="AK23" s="35"/>
      <c r="AL23" s="35"/>
      <c r="AM23" s="35"/>
      <c r="AN23" s="35">
        <v>8200</v>
      </c>
      <c r="AO23" s="35">
        <v>9300</v>
      </c>
      <c r="AP23" s="35">
        <v>11300</v>
      </c>
      <c r="AQ23" s="35">
        <v>9700</v>
      </c>
      <c r="AR23" s="35">
        <v>9500</v>
      </c>
      <c r="AS23" s="35">
        <v>8700</v>
      </c>
      <c r="AT23" s="35">
        <v>8500</v>
      </c>
      <c r="AU23" s="35">
        <v>8200</v>
      </c>
      <c r="AV23" s="35">
        <f>AV22*AV26</f>
        <v>8831.3510014406293</v>
      </c>
      <c r="AW23" s="35">
        <f t="shared" ref="AW23:AZ23" si="2">AW22*AW26</f>
        <v>9052.1347764766451</v>
      </c>
      <c r="AX23" s="35">
        <f t="shared" si="2"/>
        <v>9278.43814588856</v>
      </c>
      <c r="AY23" s="35">
        <f t="shared" si="2"/>
        <v>9464.0069088063319</v>
      </c>
      <c r="AZ23" s="35">
        <f t="shared" si="2"/>
        <v>9653.2870469824593</v>
      </c>
    </row>
    <row r="24" spans="1:52" x14ac:dyDescent="0.25">
      <c r="B24" s="1" t="s">
        <v>134</v>
      </c>
      <c r="AF24" s="2"/>
      <c r="AG24" s="2"/>
      <c r="AH24" s="2"/>
      <c r="AI24" s="2"/>
      <c r="AJ24" s="2"/>
      <c r="AK24" s="2"/>
      <c r="AL24" s="2"/>
      <c r="AM24" s="2"/>
      <c r="AN24" s="2">
        <v>33783</v>
      </c>
      <c r="AO24" s="2">
        <f>FSM!AO44</f>
        <v>41304</v>
      </c>
      <c r="AP24" s="2">
        <f>FSM!AP44</f>
        <v>37378</v>
      </c>
      <c r="AQ24" s="2">
        <f>FSM!AQ44</f>
        <v>36766</v>
      </c>
      <c r="AR24" s="2">
        <f>FSM!AR44</f>
        <v>39440</v>
      </c>
      <c r="AS24" s="2">
        <f>FSM!AS44</f>
        <v>42117</v>
      </c>
      <c r="AT24" s="2">
        <f>FSM!AT44</f>
        <v>43715</v>
      </c>
      <c r="AU24" s="2">
        <f>FSM!AU44</f>
        <v>45680</v>
      </c>
      <c r="AV24" s="2">
        <f>AV21+AV22-AV23</f>
        <v>46484.588998559375</v>
      </c>
      <c r="AW24" s="2">
        <f>AW21+AW22-AW23</f>
        <v>47309.292722082726</v>
      </c>
      <c r="AX24" s="2">
        <f>AX21+AX22-AX23</f>
        <v>48154.614038694162</v>
      </c>
      <c r="AY24" s="2">
        <f t="shared" ref="AY24:AZ24" si="3">AY21+AY22-AY23</f>
        <v>49016.841781637828</v>
      </c>
      <c r="AZ24" s="2">
        <f t="shared" si="3"/>
        <v>49896.314079440373</v>
      </c>
    </row>
    <row r="25" spans="1:52" x14ac:dyDescent="0.25"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x14ac:dyDescent="0.25">
      <c r="B26" t="s">
        <v>135</v>
      </c>
      <c r="AF26" s="2"/>
      <c r="AG26" s="2"/>
      <c r="AH26" s="2"/>
      <c r="AI26" s="2"/>
      <c r="AJ26" s="2"/>
      <c r="AK26" s="2"/>
      <c r="AL26" s="2"/>
      <c r="AM26" s="27"/>
      <c r="AN26" s="27"/>
      <c r="AO26" s="27">
        <f t="shared" ref="AO26:AT26" si="4">AO23/AO22</f>
        <v>0.69856531210095396</v>
      </c>
      <c r="AP26" s="27">
        <f t="shared" si="4"/>
        <v>1.0767031919961887</v>
      </c>
      <c r="AQ26" s="27">
        <f t="shared" si="4"/>
        <v>1.3271309344643589</v>
      </c>
      <c r="AR26" s="27">
        <f t="shared" si="4"/>
        <v>0.8570139828597203</v>
      </c>
      <c r="AS26" s="27">
        <f t="shared" si="4"/>
        <v>0.81247665296974225</v>
      </c>
      <c r="AT26" s="27">
        <f t="shared" si="4"/>
        <v>0.7756182133406333</v>
      </c>
      <c r="AU26" s="27">
        <f>AU23/AU22</f>
        <v>0.86800042341484074</v>
      </c>
      <c r="AV26" s="9">
        <f>AVERAGE(AO26:AU26)</f>
        <v>0.9165012444494911</v>
      </c>
      <c r="AW26" s="9">
        <f>AV26</f>
        <v>0.9165012444494911</v>
      </c>
      <c r="AX26" s="9">
        <f t="shared" ref="AX26:AZ26" si="5">AW26</f>
        <v>0.9165012444494911</v>
      </c>
      <c r="AY26" s="9">
        <f t="shared" si="5"/>
        <v>0.9165012444494911</v>
      </c>
      <c r="AZ26" s="9">
        <f t="shared" si="5"/>
        <v>0.9165012444494911</v>
      </c>
    </row>
    <row r="27" spans="1:52" x14ac:dyDescent="0.25"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s="32" customFormat="1" x14ac:dyDescent="0.25">
      <c r="A28"/>
      <c r="B28" s="31" t="s">
        <v>136</v>
      </c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</row>
    <row r="29" spans="1:52" x14ac:dyDescent="0.25">
      <c r="B29" t="s">
        <v>137</v>
      </c>
      <c r="AF29" s="2"/>
      <c r="AG29" s="2"/>
      <c r="AH29" s="2"/>
      <c r="AI29" s="2"/>
      <c r="AJ29" s="2"/>
      <c r="AK29" s="2"/>
      <c r="AL29" s="2"/>
      <c r="AM29" s="2"/>
      <c r="AN29" s="2"/>
      <c r="AO29" s="2">
        <f>AO31-AO23</f>
        <v>1603</v>
      </c>
      <c r="AP29" s="2">
        <f t="shared" ref="AP29:AU29" si="6">AP31-AP23</f>
        <v>1247</v>
      </c>
      <c r="AQ29" s="2">
        <f t="shared" si="6"/>
        <v>1356</v>
      </c>
      <c r="AR29" s="2">
        <f t="shared" si="6"/>
        <v>1784</v>
      </c>
      <c r="AS29" s="2">
        <f t="shared" si="6"/>
        <v>2404</v>
      </c>
      <c r="AT29" s="2">
        <f t="shared" si="6"/>
        <v>3019</v>
      </c>
      <c r="AU29" s="2">
        <f t="shared" si="6"/>
        <v>3245</v>
      </c>
      <c r="AV29" s="2">
        <f>AV4*AV30</f>
        <v>3189.9257199999997</v>
      </c>
      <c r="AW29" s="2">
        <f t="shared" ref="AW29:AZ29" si="7">AW4*AW30</f>
        <v>3271.1259052879996</v>
      </c>
      <c r="AX29" s="2">
        <f t="shared" si="7"/>
        <v>3354.3475333766796</v>
      </c>
      <c r="AY29" s="2">
        <f t="shared" si="7"/>
        <v>3420.2390220061757</v>
      </c>
      <c r="AZ29" s="2">
        <f t="shared" si="7"/>
        <v>3489.8500621066605</v>
      </c>
    </row>
    <row r="30" spans="1:52" s="34" customFormat="1" x14ac:dyDescent="0.25">
      <c r="A30"/>
      <c r="B30" s="33" t="s">
        <v>138</v>
      </c>
      <c r="AF30" s="35"/>
      <c r="AG30" s="35"/>
      <c r="AH30" s="35"/>
      <c r="AI30" s="35"/>
      <c r="AJ30" s="35"/>
      <c r="AK30" s="35"/>
      <c r="AL30" s="35"/>
      <c r="AM30" s="35"/>
      <c r="AN30" s="35"/>
      <c r="AO30" s="37">
        <f>AO29/AO4</f>
        <v>6.0355051864681188E-3</v>
      </c>
      <c r="AP30" s="37">
        <f t="shared" ref="AP30:AU30" si="8">AP29/AP4</f>
        <v>4.7929462590420259E-3</v>
      </c>
      <c r="AQ30" s="37">
        <f t="shared" si="8"/>
        <v>4.9396207857494122E-3</v>
      </c>
      <c r="AR30" s="37">
        <f t="shared" si="8"/>
        <v>4.8767553175494849E-3</v>
      </c>
      <c r="AS30" s="37">
        <f t="shared" si="8"/>
        <v>6.0964476273559064E-3</v>
      </c>
      <c r="AT30" s="37">
        <f t="shared" si="8"/>
        <v>7.8766453161485585E-3</v>
      </c>
      <c r="AU30" s="37">
        <f t="shared" si="8"/>
        <v>8.2984899049957164E-3</v>
      </c>
      <c r="AV30" s="37">
        <v>8.0000000000000002E-3</v>
      </c>
      <c r="AW30" s="37">
        <v>8.0000000000000002E-3</v>
      </c>
      <c r="AX30" s="37">
        <v>8.0000000000000002E-3</v>
      </c>
      <c r="AY30" s="37">
        <v>8.0000000000000002E-3</v>
      </c>
      <c r="AZ30" s="37">
        <v>8.0000000000000002E-3</v>
      </c>
    </row>
    <row r="31" spans="1:52" x14ac:dyDescent="0.25">
      <c r="B31" s="1" t="s">
        <v>139</v>
      </c>
      <c r="AF31" s="2"/>
      <c r="AG31" s="2"/>
      <c r="AH31" s="2"/>
      <c r="AI31" s="2"/>
      <c r="AJ31" s="2"/>
      <c r="AK31" s="2"/>
      <c r="AL31" s="2"/>
      <c r="AM31" s="2"/>
      <c r="AN31" s="2"/>
      <c r="AO31" s="2">
        <f>FSM!AO65</f>
        <v>10903</v>
      </c>
      <c r="AP31" s="2">
        <f>FSM!AP65</f>
        <v>12547</v>
      </c>
      <c r="AQ31" s="2">
        <f>FSM!AQ65</f>
        <v>11056</v>
      </c>
      <c r="AR31" s="2">
        <f>FSM!AR65</f>
        <v>11284</v>
      </c>
      <c r="AS31" s="2">
        <f>FSM!AS65</f>
        <v>11104</v>
      </c>
      <c r="AT31" s="2">
        <f>FSM!AT65</f>
        <v>11519</v>
      </c>
      <c r="AU31" s="2">
        <f>FSM!AU65</f>
        <v>11445</v>
      </c>
      <c r="AV31" s="2">
        <f>AV23+AV29</f>
        <v>12021.276721440629</v>
      </c>
      <c r="AW31" s="2">
        <f t="shared" ref="AW31:AZ31" si="9">AW23+AW29</f>
        <v>12323.260681764645</v>
      </c>
      <c r="AX31" s="2">
        <f t="shared" si="9"/>
        <v>12632.78567926524</v>
      </c>
      <c r="AY31" s="2">
        <f t="shared" si="9"/>
        <v>12884.245930812507</v>
      </c>
      <c r="AZ31" s="2">
        <f t="shared" si="9"/>
        <v>13143.137109089119</v>
      </c>
    </row>
    <row r="32" spans="1:52" x14ac:dyDescent="0.25"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s="32" customFormat="1" x14ac:dyDescent="0.25">
      <c r="A33"/>
      <c r="B33" s="31" t="s">
        <v>38</v>
      </c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</row>
    <row r="34" spans="1:52" x14ac:dyDescent="0.25">
      <c r="B34" t="s">
        <v>131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>
        <f>AU37</f>
        <v>74834</v>
      </c>
      <c r="AW34" s="2">
        <f t="shared" ref="AW34:AZ34" si="10">AV37</f>
        <v>76330.680000000008</v>
      </c>
      <c r="AX34" s="2">
        <f t="shared" si="10"/>
        <v>78238.947</v>
      </c>
      <c r="AY34" s="2">
        <f t="shared" si="10"/>
        <v>80194.920674999987</v>
      </c>
      <c r="AZ34" s="2">
        <f t="shared" si="10"/>
        <v>81798.819088499993</v>
      </c>
    </row>
    <row r="35" spans="1:52" x14ac:dyDescent="0.25">
      <c r="B35" s="7" t="s">
        <v>140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>
        <f>AV29</f>
        <v>3189.9257199999997</v>
      </c>
      <c r="AW35" s="2">
        <f t="shared" ref="AW35:AZ35" si="11">AW29</f>
        <v>3271.1259052879996</v>
      </c>
      <c r="AX35" s="2">
        <f t="shared" si="11"/>
        <v>3354.3475333766796</v>
      </c>
      <c r="AY35" s="2">
        <f t="shared" si="11"/>
        <v>3420.2390220061757</v>
      </c>
      <c r="AZ35" s="2">
        <f t="shared" si="11"/>
        <v>3489.8500621066605</v>
      </c>
    </row>
    <row r="36" spans="1:52" s="34" customFormat="1" x14ac:dyDescent="0.25">
      <c r="A36"/>
      <c r="B36" s="33" t="s">
        <v>141</v>
      </c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>
        <f>AV37-AV34+AV35</f>
        <v>4686.6057200000068</v>
      </c>
      <c r="AW36" s="35">
        <f t="shared" ref="AW36:AZ36" si="12">AW37-AW34+AW35</f>
        <v>5179.3929052879921</v>
      </c>
      <c r="AX36" s="35">
        <f t="shared" si="12"/>
        <v>5310.3212083766666</v>
      </c>
      <c r="AY36" s="35">
        <f t="shared" si="12"/>
        <v>5024.1374355061816</v>
      </c>
      <c r="AZ36" s="35">
        <f t="shared" si="12"/>
        <v>5125.826443876661</v>
      </c>
    </row>
    <row r="37" spans="1:52" x14ac:dyDescent="0.25">
      <c r="B37" s="1" t="s">
        <v>134</v>
      </c>
      <c r="AF37" s="2"/>
      <c r="AG37" s="2"/>
      <c r="AH37" s="2"/>
      <c r="AI37" s="2"/>
      <c r="AJ37" s="2"/>
      <c r="AK37" s="2"/>
      <c r="AL37" s="2"/>
      <c r="AM37" s="2"/>
      <c r="AN37" s="2"/>
      <c r="AO37" s="2">
        <f>FSM!AO45</f>
        <v>22283</v>
      </c>
      <c r="AP37" s="2">
        <f>FSM!AP45</f>
        <v>32978</v>
      </c>
      <c r="AQ37" s="2">
        <f>FSM!AQ45</f>
        <v>42522</v>
      </c>
      <c r="AR37" s="2">
        <f>FSM!AR45</f>
        <v>48849</v>
      </c>
      <c r="AS37" s="2">
        <f>FSM!AS45</f>
        <v>54428</v>
      </c>
      <c r="AT37" s="2">
        <f>FSM!AT45</f>
        <v>64758</v>
      </c>
      <c r="AU37" s="2">
        <f>FSM!AU45</f>
        <v>74834</v>
      </c>
      <c r="AV37" s="2">
        <f>FSM!AV45</f>
        <v>76330.680000000008</v>
      </c>
      <c r="AW37" s="2">
        <f>FSM!AW45</f>
        <v>78238.947</v>
      </c>
      <c r="AX37" s="2">
        <f>FSM!AX45</f>
        <v>80194.920674999987</v>
      </c>
      <c r="AY37" s="2">
        <f>FSM!AY45</f>
        <v>81798.819088499993</v>
      </c>
      <c r="AZ37" s="2">
        <f>FSM!AZ45</f>
        <v>83434.795470269994</v>
      </c>
    </row>
    <row r="38" spans="1:52" x14ac:dyDescent="0.25"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s="32" customFormat="1" x14ac:dyDescent="0.25">
      <c r="A39"/>
      <c r="B39" s="31" t="s">
        <v>142</v>
      </c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</row>
    <row r="40" spans="1:52" x14ac:dyDescent="0.25">
      <c r="B40" t="s">
        <v>131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>
        <f>AU44</f>
        <v>-19154</v>
      </c>
      <c r="AW40" s="2">
        <f t="shared" ref="AW40:AZ40" si="13">AV44</f>
        <v>-16361.960591372335</v>
      </c>
      <c r="AX40" s="2">
        <f t="shared" si="13"/>
        <v>-11694.644151933506</v>
      </c>
      <c r="AY40" s="2">
        <f t="shared" si="13"/>
        <v>-4983.6273547840538</v>
      </c>
      <c r="AZ40" s="2">
        <f t="shared" si="13"/>
        <v>3133.5924883176922</v>
      </c>
    </row>
    <row r="41" spans="1:52" x14ac:dyDescent="0.25">
      <c r="B41" s="7" t="s">
        <v>143</v>
      </c>
      <c r="AF41" s="2"/>
      <c r="AG41" s="2"/>
      <c r="AH41" s="2"/>
      <c r="AI41" s="2"/>
      <c r="AJ41" s="2"/>
      <c r="AK41" s="2"/>
      <c r="AL41" s="2"/>
      <c r="AM41" s="2"/>
      <c r="AN41" s="2">
        <v>48351</v>
      </c>
      <c r="AO41" s="2">
        <v>59531</v>
      </c>
      <c r="AP41" s="2">
        <v>55256</v>
      </c>
      <c r="AQ41" s="2">
        <v>57411</v>
      </c>
      <c r="AR41" s="2">
        <v>94680</v>
      </c>
      <c r="AS41" s="2">
        <v>99803</v>
      </c>
      <c r="AT41" s="2">
        <v>96995</v>
      </c>
      <c r="AU41" s="2">
        <v>93736</v>
      </c>
      <c r="AV41" s="2">
        <f>FSM!AV63</f>
        <v>117755.61351546299</v>
      </c>
      <c r="AW41" s="2">
        <f>FSM!AW63</f>
        <v>119994.34817197634</v>
      </c>
      <c r="AX41" s="2">
        <f>FSM!AX63</f>
        <v>122434.14919505848</v>
      </c>
      <c r="AY41" s="2">
        <f>FSM!AY63</f>
        <v>124112.89609023389</v>
      </c>
      <c r="AZ41" s="2">
        <f>FSM!AZ63</f>
        <v>125904.29252035075</v>
      </c>
    </row>
    <row r="42" spans="1:52" x14ac:dyDescent="0.25">
      <c r="B42" s="7" t="s">
        <v>144</v>
      </c>
      <c r="AF42" s="2"/>
      <c r="AG42" s="2"/>
      <c r="AH42" s="2"/>
      <c r="AI42" s="2"/>
      <c r="AJ42" s="2"/>
      <c r="AK42" s="2"/>
      <c r="AL42" s="2"/>
      <c r="AM42" s="2"/>
      <c r="AN42" s="2">
        <v>12803</v>
      </c>
      <c r="AO42" s="2">
        <v>13735</v>
      </c>
      <c r="AP42" s="2">
        <v>14129</v>
      </c>
      <c r="AQ42" s="2">
        <v>14087</v>
      </c>
      <c r="AR42" s="2">
        <v>14431</v>
      </c>
      <c r="AS42" s="2">
        <v>14793</v>
      </c>
      <c r="AT42" s="2">
        <v>14996</v>
      </c>
      <c r="AU42" s="2">
        <v>15218</v>
      </c>
      <c r="AV42" s="2">
        <f>AV41*($AU$42/$AU$41)</f>
        <v>19117.574106835324</v>
      </c>
      <c r="AW42" s="2">
        <f>AW41*($AU$42/$AU$41)</f>
        <v>19481.031732537507</v>
      </c>
      <c r="AX42" s="2">
        <f t="shared" ref="AX42:AZ42" si="14">AX41*($AU$42/$AU$41)</f>
        <v>19877.132397909019</v>
      </c>
      <c r="AY42" s="2">
        <f t="shared" si="14"/>
        <v>20149.676247132149</v>
      </c>
      <c r="AZ42" s="2">
        <f t="shared" si="14"/>
        <v>20440.508700762755</v>
      </c>
    </row>
    <row r="43" spans="1:52" s="34" customFormat="1" x14ac:dyDescent="0.25">
      <c r="A43"/>
      <c r="B43" s="33" t="s">
        <v>146</v>
      </c>
      <c r="AF43" s="35"/>
      <c r="AG43" s="35"/>
      <c r="AH43" s="35"/>
      <c r="AI43" s="35"/>
      <c r="AJ43" s="35"/>
      <c r="AK43" s="35"/>
      <c r="AL43" s="35"/>
      <c r="AM43" s="35"/>
      <c r="AN43" s="35">
        <v>33001</v>
      </c>
      <c r="AO43" s="35">
        <v>73056</v>
      </c>
      <c r="AP43" s="35">
        <v>67101</v>
      </c>
      <c r="AQ43" s="35">
        <v>72516</v>
      </c>
      <c r="AR43" s="35">
        <v>85502</v>
      </c>
      <c r="AS43" s="35">
        <v>90186</v>
      </c>
      <c r="AT43" s="35">
        <v>77046</v>
      </c>
      <c r="AU43" s="35">
        <v>95846</v>
      </c>
      <c r="AV43" s="35">
        <v>95846</v>
      </c>
      <c r="AW43" s="35">
        <v>95846</v>
      </c>
      <c r="AX43" s="35">
        <v>95846</v>
      </c>
      <c r="AY43" s="35">
        <v>95846</v>
      </c>
      <c r="AZ43" s="35">
        <v>95846</v>
      </c>
    </row>
    <row r="44" spans="1:52" x14ac:dyDescent="0.25">
      <c r="B44" s="1" t="s">
        <v>134</v>
      </c>
      <c r="AF44" s="2"/>
      <c r="AG44" s="2"/>
      <c r="AH44" s="2"/>
      <c r="AI44" s="2"/>
      <c r="AJ44" s="2"/>
      <c r="AK44" s="2"/>
      <c r="AL44" s="2"/>
      <c r="AM44" s="2"/>
      <c r="AN44" s="2">
        <v>98330</v>
      </c>
      <c r="AO44" s="2">
        <v>70400</v>
      </c>
      <c r="AP44" s="2">
        <v>45989</v>
      </c>
      <c r="AQ44" s="2">
        <v>14966</v>
      </c>
      <c r="AR44" s="2">
        <v>5562</v>
      </c>
      <c r="AS44" s="2">
        <v>-3068</v>
      </c>
      <c r="AT44" s="2">
        <v>-214</v>
      </c>
      <c r="AU44" s="2">
        <v>-19154</v>
      </c>
      <c r="AV44" s="2">
        <f>AV40+AV41-AV42-AV43</f>
        <v>-16361.960591372335</v>
      </c>
      <c r="AW44" s="2">
        <f t="shared" ref="AW44:AZ44" si="15">AW40+AW41-AW42-AW43</f>
        <v>-11694.644151933506</v>
      </c>
      <c r="AX44" s="2">
        <f t="shared" si="15"/>
        <v>-4983.6273547840538</v>
      </c>
      <c r="AY44" s="2">
        <f t="shared" si="15"/>
        <v>3133.5924883176922</v>
      </c>
      <c r="AZ44" s="2">
        <f t="shared" si="15"/>
        <v>12751.376307905681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52AB-E985-4AF5-9CD8-577DDE99CB79}">
  <dimension ref="B1:BA100"/>
  <sheetViews>
    <sheetView zoomScale="90" zoomScaleNormal="90" workbookViewId="0">
      <pane xSplit="2" ySplit="3" topLeftCell="W4" activePane="bottomRight" state="frozen"/>
      <selection pane="topRight" activeCell="C1" sqref="C1"/>
      <selection pane="bottomLeft" activeCell="A4" sqref="A4"/>
      <selection pane="bottomRight" activeCell="AU58" sqref="AU58"/>
    </sheetView>
  </sheetViews>
  <sheetFormatPr defaultRowHeight="15" x14ac:dyDescent="0.25"/>
  <cols>
    <col min="2" max="2" width="27.140625" customWidth="1"/>
    <col min="3" max="3" width="11.85546875" bestFit="1" customWidth="1"/>
    <col min="4" max="6" width="10.42578125" bestFit="1" customWidth="1"/>
    <col min="7" max="7" width="11.5703125" bestFit="1" customWidth="1"/>
    <col min="8" max="10" width="10.42578125" bestFit="1" customWidth="1"/>
    <col min="11" max="11" width="11.5703125" bestFit="1" customWidth="1"/>
    <col min="12" max="14" width="10.42578125" bestFit="1" customWidth="1"/>
    <col min="15" max="15" width="11.5703125" bestFit="1" customWidth="1"/>
    <col min="16" max="18" width="10.42578125" bestFit="1" customWidth="1"/>
    <col min="19" max="19" width="11.5703125" bestFit="1" customWidth="1"/>
    <col min="21" max="21" width="10.5703125" customWidth="1"/>
    <col min="22" max="22" width="10.42578125" bestFit="1" customWidth="1"/>
    <col min="23" max="23" width="11.5703125" bestFit="1" customWidth="1"/>
    <col min="24" max="26" width="10.42578125" bestFit="1" customWidth="1"/>
    <col min="27" max="27" width="11.5703125" bestFit="1" customWidth="1"/>
    <col min="28" max="28" width="10.42578125" bestFit="1" customWidth="1"/>
    <col min="29" max="30" width="10.42578125" customWidth="1"/>
    <col min="33" max="34" width="8.7109375" bestFit="1" customWidth="1"/>
    <col min="35" max="52" width="9.85546875" bestFit="1" customWidth="1"/>
  </cols>
  <sheetData>
    <row r="1" spans="2:53" x14ac:dyDescent="0.25">
      <c r="AA1" s="2"/>
      <c r="AB1" s="2"/>
      <c r="AC1" s="2"/>
      <c r="AD1" s="2"/>
    </row>
    <row r="2" spans="2:53" x14ac:dyDescent="0.25">
      <c r="B2" t="s">
        <v>89</v>
      </c>
      <c r="C2" s="4">
        <v>43463</v>
      </c>
      <c r="D2" s="4">
        <v>43554</v>
      </c>
      <c r="E2" s="4">
        <v>43645</v>
      </c>
      <c r="F2" s="4">
        <v>43736</v>
      </c>
      <c r="G2" s="4">
        <v>43827</v>
      </c>
      <c r="H2" s="4">
        <v>43918</v>
      </c>
      <c r="I2" s="5">
        <v>44009</v>
      </c>
      <c r="J2" s="5">
        <v>44100</v>
      </c>
      <c r="K2" s="5">
        <v>44191</v>
      </c>
      <c r="L2" s="5">
        <v>44282</v>
      </c>
      <c r="M2" s="5">
        <v>44373</v>
      </c>
      <c r="N2" s="5">
        <v>44464</v>
      </c>
      <c r="O2" s="5">
        <v>44555</v>
      </c>
      <c r="P2" s="5">
        <v>44646</v>
      </c>
      <c r="Q2" s="5">
        <v>44737</v>
      </c>
      <c r="R2" s="5">
        <v>44828</v>
      </c>
      <c r="S2" s="5">
        <v>44926</v>
      </c>
      <c r="T2" s="5">
        <v>45017</v>
      </c>
      <c r="U2" s="5">
        <v>45108</v>
      </c>
      <c r="V2" s="5">
        <v>45199</v>
      </c>
      <c r="W2" s="5">
        <v>45290</v>
      </c>
      <c r="X2" s="5">
        <v>45381</v>
      </c>
      <c r="Y2" s="5">
        <v>45472</v>
      </c>
      <c r="Z2" s="5">
        <v>45563</v>
      </c>
      <c r="AA2" s="5">
        <v>45656</v>
      </c>
      <c r="AB2" s="5">
        <v>45746</v>
      </c>
      <c r="AC2" s="5">
        <v>45837</v>
      </c>
      <c r="AD2" s="5">
        <v>45928</v>
      </c>
    </row>
    <row r="3" spans="2:53" x14ac:dyDescent="0.25"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s="2" t="s">
        <v>84</v>
      </c>
      <c r="AB3" s="2" t="s">
        <v>85</v>
      </c>
      <c r="AC3" s="2" t="s">
        <v>95</v>
      </c>
      <c r="AD3" s="2" t="s">
        <v>96</v>
      </c>
      <c r="AG3">
        <v>2010</v>
      </c>
      <c r="AH3">
        <v>2011</v>
      </c>
      <c r="AI3">
        <v>2012</v>
      </c>
      <c r="AJ3">
        <v>2013</v>
      </c>
      <c r="AK3">
        <v>2014</v>
      </c>
      <c r="AL3">
        <v>2015</v>
      </c>
      <c r="AM3">
        <v>2016</v>
      </c>
      <c r="AN3">
        <v>2017</v>
      </c>
      <c r="AO3">
        <v>2018</v>
      </c>
      <c r="AP3">
        <v>2019</v>
      </c>
      <c r="AQ3">
        <v>2020</v>
      </c>
      <c r="AR3">
        <v>2021</v>
      </c>
      <c r="AS3">
        <v>2022</v>
      </c>
      <c r="AT3">
        <v>2023</v>
      </c>
      <c r="AU3">
        <v>2024</v>
      </c>
      <c r="AV3">
        <v>2025</v>
      </c>
      <c r="AW3">
        <v>2026</v>
      </c>
      <c r="AX3">
        <v>2027</v>
      </c>
      <c r="AY3">
        <v>2028</v>
      </c>
      <c r="AZ3">
        <v>2029</v>
      </c>
    </row>
    <row r="4" spans="2:53" x14ac:dyDescent="0.25">
      <c r="B4" t="s">
        <v>0</v>
      </c>
      <c r="C4" s="2">
        <v>36940</v>
      </c>
      <c r="D4" s="2">
        <v>25596</v>
      </c>
      <c r="E4" s="2">
        <v>25056</v>
      </c>
      <c r="F4" s="2">
        <f>+AP4-C4-D4-E4</f>
        <v>29322</v>
      </c>
      <c r="G4" s="2">
        <v>41367</v>
      </c>
      <c r="H4" s="2">
        <v>25473</v>
      </c>
      <c r="I4" s="2">
        <v>27018</v>
      </c>
      <c r="J4" s="2">
        <f>+AQ4-G4-H4-I4</f>
        <v>30698</v>
      </c>
      <c r="K4" s="2">
        <v>46310</v>
      </c>
      <c r="L4" s="2">
        <v>34306</v>
      </c>
      <c r="M4" s="2">
        <v>35870</v>
      </c>
      <c r="N4" s="2">
        <f>+AR4-K4-L4-M4</f>
        <v>36820</v>
      </c>
      <c r="O4" s="2">
        <v>51496</v>
      </c>
      <c r="P4" s="2">
        <v>40882</v>
      </c>
      <c r="Q4" s="2">
        <v>37472</v>
      </c>
      <c r="R4" s="2">
        <f>+AS4-O4-P4-Q4</f>
        <v>39808</v>
      </c>
      <c r="S4" s="2">
        <v>49278</v>
      </c>
      <c r="T4" s="2">
        <v>37784</v>
      </c>
      <c r="U4" s="2">
        <v>35383</v>
      </c>
      <c r="V4" s="2">
        <f>+AT4-S4-T4-U4</f>
        <v>40115</v>
      </c>
      <c r="W4" s="2">
        <v>50430</v>
      </c>
      <c r="X4" s="2">
        <v>37273</v>
      </c>
      <c r="Y4" s="2">
        <v>37678</v>
      </c>
      <c r="Z4" s="2">
        <f>+AU4-W4-X4-Y4</f>
        <v>41664</v>
      </c>
      <c r="AA4" s="2">
        <f>W4*(1+Asumptions!AA$6)</f>
        <v>51438.6</v>
      </c>
      <c r="AB4" s="2">
        <f>X4*(1+Asumptions!AB$6)</f>
        <v>38018.46</v>
      </c>
      <c r="AC4" s="2">
        <f>Y4*(1+Asumptions!AC$6)</f>
        <v>38431.56</v>
      </c>
      <c r="AD4" s="2">
        <f>Z4*(1+Asumptions!AD$6)</f>
        <v>42497.279999999999</v>
      </c>
      <c r="AG4" s="2">
        <v>24498</v>
      </c>
      <c r="AH4" s="2">
        <v>38315</v>
      </c>
      <c r="AI4" s="2">
        <v>57512</v>
      </c>
      <c r="AJ4" s="2">
        <v>62739</v>
      </c>
      <c r="AK4" s="2">
        <v>80095</v>
      </c>
      <c r="AL4" s="2">
        <v>93864</v>
      </c>
      <c r="AM4" s="2">
        <v>86613</v>
      </c>
      <c r="AN4" s="2">
        <v>96600</v>
      </c>
      <c r="AO4" s="2">
        <v>112093</v>
      </c>
      <c r="AP4" s="2">
        <v>116914</v>
      </c>
      <c r="AQ4" s="2">
        <v>124556</v>
      </c>
      <c r="AR4" s="2">
        <v>153306</v>
      </c>
      <c r="AS4" s="2">
        <v>169658</v>
      </c>
      <c r="AT4" s="2">
        <v>162560</v>
      </c>
      <c r="AU4" s="2">
        <v>167045</v>
      </c>
      <c r="AV4" s="2">
        <f>SUM(AA4:AD4)</f>
        <v>170385.9</v>
      </c>
      <c r="AW4" s="2">
        <f>AV4*(1+Asumptions!AW$6)</f>
        <v>174645.54749999999</v>
      </c>
      <c r="AX4" s="2">
        <f>AW4*(1+Asumptions!AX$6)</f>
        <v>179011.68618749996</v>
      </c>
      <c r="AY4" s="2">
        <f>AX4*(1+Asumptions!AY$6)</f>
        <v>182591.91991124995</v>
      </c>
      <c r="AZ4" s="2">
        <f>AY4*(1+Asumptions!AZ$6)</f>
        <v>186243.75830947494</v>
      </c>
      <c r="BA4" s="2"/>
    </row>
    <row r="5" spans="2:53" x14ac:dyDescent="0.25">
      <c r="B5" t="s">
        <v>1</v>
      </c>
      <c r="C5" s="2">
        <v>20363</v>
      </c>
      <c r="D5" s="2">
        <v>13054</v>
      </c>
      <c r="E5" s="2">
        <v>11925</v>
      </c>
      <c r="F5" s="2">
        <f>+AP5-C5-D5-E5</f>
        <v>14946</v>
      </c>
      <c r="G5" s="2">
        <v>23273</v>
      </c>
      <c r="H5" s="2">
        <v>14294</v>
      </c>
      <c r="I5" s="2">
        <v>14173</v>
      </c>
      <c r="J5" s="2">
        <f>+AQ5-G5-H5-I5</f>
        <v>16900</v>
      </c>
      <c r="K5" s="2">
        <v>27306</v>
      </c>
      <c r="L5" s="2">
        <v>22264</v>
      </c>
      <c r="M5" s="2">
        <v>18943</v>
      </c>
      <c r="N5" s="2">
        <f>+AR5-K5-L5-M5</f>
        <v>20794</v>
      </c>
      <c r="O5" s="2">
        <v>29749</v>
      </c>
      <c r="P5" s="2">
        <v>23287</v>
      </c>
      <c r="Q5" s="2">
        <v>19287</v>
      </c>
      <c r="R5" s="2">
        <f>+AS5-O5-P5-Q5</f>
        <v>22795</v>
      </c>
      <c r="S5" s="2">
        <v>27681</v>
      </c>
      <c r="T5" s="2">
        <v>23945</v>
      </c>
      <c r="U5" s="2">
        <v>20205</v>
      </c>
      <c r="V5" s="2">
        <f>+AT5-S5-T5-U5</f>
        <v>22463</v>
      </c>
      <c r="W5" s="2">
        <v>30397</v>
      </c>
      <c r="X5" s="2">
        <v>24123</v>
      </c>
      <c r="Y5" s="2">
        <v>21884</v>
      </c>
      <c r="Z5" s="2">
        <f>+AU5-W5-X5-Y5</f>
        <v>24924</v>
      </c>
      <c r="AA5" s="2">
        <f>W5*(1+Asumptions!AA$6)</f>
        <v>31004.940000000002</v>
      </c>
      <c r="AB5" s="2">
        <f>X5*(1+Asumptions!AB$6)</f>
        <v>24605.46</v>
      </c>
      <c r="AC5" s="2">
        <f>Y5*(1+Asumptions!AC$6)</f>
        <v>22321.68</v>
      </c>
      <c r="AD5" s="2">
        <f>Z5*(1+Asumptions!AD$6)</f>
        <v>25422.48</v>
      </c>
      <c r="AG5" s="2">
        <v>18692</v>
      </c>
      <c r="AH5" s="2">
        <v>27778</v>
      </c>
      <c r="AI5" s="2">
        <v>36323</v>
      </c>
      <c r="AJ5" s="2">
        <v>37883</v>
      </c>
      <c r="AK5" s="2">
        <v>44285</v>
      </c>
      <c r="AL5" s="2">
        <v>50337</v>
      </c>
      <c r="AM5" s="2">
        <v>49952</v>
      </c>
      <c r="AN5" s="2">
        <v>54938</v>
      </c>
      <c r="AO5" s="2">
        <v>62420</v>
      </c>
      <c r="AP5" s="2">
        <v>60288</v>
      </c>
      <c r="AQ5" s="2">
        <v>68640</v>
      </c>
      <c r="AR5" s="2">
        <v>89307</v>
      </c>
      <c r="AS5" s="2">
        <v>95118</v>
      </c>
      <c r="AT5" s="2">
        <v>94294</v>
      </c>
      <c r="AU5" s="2">
        <v>101328</v>
      </c>
      <c r="AV5" s="2">
        <f t="shared" ref="AV5:AV8" si="0">SUM(AA5:AD5)</f>
        <v>103354.56</v>
      </c>
      <c r="AW5" s="2">
        <f>AV5*(1+Asumptions!AW$6)</f>
        <v>105938.42399999998</v>
      </c>
      <c r="AX5" s="2">
        <f>AW5*(1+Asumptions!AX$6)</f>
        <v>108586.88459999998</v>
      </c>
      <c r="AY5" s="2">
        <f>AX5*(1+Asumptions!AY$6)</f>
        <v>110758.62229199997</v>
      </c>
      <c r="AZ5" s="2">
        <f>AY5*(1+Asumptions!AZ$6)</f>
        <v>112973.79473783997</v>
      </c>
      <c r="BA5" s="2"/>
    </row>
    <row r="6" spans="2:53" x14ac:dyDescent="0.25">
      <c r="B6" t="s">
        <v>2</v>
      </c>
      <c r="C6" s="2">
        <v>13169</v>
      </c>
      <c r="D6" s="2">
        <v>10218</v>
      </c>
      <c r="E6" s="2">
        <v>9157</v>
      </c>
      <c r="F6" s="2">
        <f>+AP6-C6-D6-E6</f>
        <v>11134</v>
      </c>
      <c r="G6" s="2">
        <v>13578</v>
      </c>
      <c r="H6" s="2">
        <v>9455</v>
      </c>
      <c r="I6" s="2">
        <v>9329</v>
      </c>
      <c r="J6" s="2">
        <f>+AQ6-G6-H6-I6</f>
        <v>7946</v>
      </c>
      <c r="K6" s="2">
        <v>21313</v>
      </c>
      <c r="L6" s="2">
        <v>17728</v>
      </c>
      <c r="M6" s="2">
        <v>14762</v>
      </c>
      <c r="N6" s="2">
        <f>+AR6-K6-L6-M6</f>
        <v>14563</v>
      </c>
      <c r="O6" s="2">
        <v>25783</v>
      </c>
      <c r="P6" s="2">
        <v>18343</v>
      </c>
      <c r="Q6" s="2">
        <v>14604</v>
      </c>
      <c r="R6" s="2">
        <f>+AS6-O6-P6-Q6</f>
        <v>15470</v>
      </c>
      <c r="S6" s="2">
        <v>23905</v>
      </c>
      <c r="T6" s="2">
        <v>17812</v>
      </c>
      <c r="U6" s="2">
        <v>15758</v>
      </c>
      <c r="V6" s="2">
        <f>+AT6-S6-T6-U6</f>
        <v>15084</v>
      </c>
      <c r="W6" s="2">
        <v>20819</v>
      </c>
      <c r="X6" s="2">
        <v>16372</v>
      </c>
      <c r="Y6" s="2">
        <v>14728</v>
      </c>
      <c r="Z6" s="2">
        <f>+AU6-W6-X6-Y6</f>
        <v>15033</v>
      </c>
      <c r="AA6" s="2">
        <f>W6*(1+Asumptions!AA$6)</f>
        <v>21235.38</v>
      </c>
      <c r="AB6" s="2">
        <f>X6*(1+Asumptions!AB$6)</f>
        <v>16699.439999999999</v>
      </c>
      <c r="AC6" s="2">
        <f>Y6*(1+Asumptions!AC$6)</f>
        <v>15022.56</v>
      </c>
      <c r="AD6" s="2">
        <f>Z6*(1+Asumptions!AD$6)</f>
        <v>15333.66</v>
      </c>
      <c r="AH6" s="2">
        <v>12690</v>
      </c>
      <c r="AI6" s="2">
        <v>22533</v>
      </c>
      <c r="AJ6" s="2">
        <v>25417</v>
      </c>
      <c r="AK6" s="2">
        <v>31853</v>
      </c>
      <c r="AL6" s="2">
        <v>58715</v>
      </c>
      <c r="AM6" s="2">
        <v>48492</v>
      </c>
      <c r="AN6" s="2">
        <v>44764</v>
      </c>
      <c r="AO6" s="2">
        <v>51942</v>
      </c>
      <c r="AP6" s="2">
        <v>43678</v>
      </c>
      <c r="AQ6" s="2">
        <v>40308</v>
      </c>
      <c r="AR6" s="2">
        <v>68366</v>
      </c>
      <c r="AS6" s="2">
        <v>74200</v>
      </c>
      <c r="AT6" s="2">
        <v>72559</v>
      </c>
      <c r="AU6" s="2">
        <v>66952</v>
      </c>
      <c r="AV6" s="2">
        <f t="shared" si="0"/>
        <v>68291.039999999994</v>
      </c>
      <c r="AW6" s="2">
        <f>AV6*(1+Asumptions!AW$6)</f>
        <v>69998.315999999992</v>
      </c>
      <c r="AX6" s="2">
        <f>AW6*(1+Asumptions!AX$6)</f>
        <v>71748.273899999986</v>
      </c>
      <c r="AY6" s="2">
        <f>AX6*(1+Asumptions!AY$6)</f>
        <v>73183.239377999984</v>
      </c>
      <c r="AZ6" s="2">
        <f>AY6*(1+Asumptions!AZ$6)</f>
        <v>74646.904165559987</v>
      </c>
      <c r="BA6" s="2"/>
    </row>
    <row r="7" spans="2:53" x14ac:dyDescent="0.25">
      <c r="B7" t="s">
        <v>3</v>
      </c>
      <c r="C7" s="2">
        <v>6910</v>
      </c>
      <c r="D7" s="2">
        <v>5532</v>
      </c>
      <c r="E7" s="2">
        <v>4082</v>
      </c>
      <c r="F7" s="2">
        <f>+AP7-C7-D7-E7</f>
        <v>4982</v>
      </c>
      <c r="G7" s="2">
        <v>6223</v>
      </c>
      <c r="H7" s="2">
        <v>5206</v>
      </c>
      <c r="I7" s="2">
        <v>4966</v>
      </c>
      <c r="J7" s="2">
        <f>+AQ7-G7-H7-I7</f>
        <v>5023</v>
      </c>
      <c r="K7" s="2">
        <v>8285</v>
      </c>
      <c r="L7" s="2">
        <v>7742</v>
      </c>
      <c r="M7" s="2">
        <v>6464</v>
      </c>
      <c r="N7" s="2">
        <f>+AR7-K7-L7-M7</f>
        <v>5991</v>
      </c>
      <c r="O7" s="2">
        <v>7107</v>
      </c>
      <c r="P7" s="2">
        <v>7724</v>
      </c>
      <c r="Q7" s="2">
        <v>5446</v>
      </c>
      <c r="R7" s="2">
        <f>+AS7-O7-P7-Q7</f>
        <v>5700</v>
      </c>
      <c r="S7" s="2">
        <v>6755</v>
      </c>
      <c r="T7" s="2">
        <v>7176</v>
      </c>
      <c r="U7" s="2">
        <v>4821</v>
      </c>
      <c r="V7" s="2">
        <f>+AT7-S7-T7-U7</f>
        <v>5505</v>
      </c>
      <c r="W7" s="2">
        <v>7767</v>
      </c>
      <c r="X7" s="2">
        <v>6262</v>
      </c>
      <c r="Y7" s="2">
        <v>5097</v>
      </c>
      <c r="Z7" s="2">
        <f>+AU7-W7-X7-Y7</f>
        <v>5926</v>
      </c>
      <c r="AA7" s="2">
        <f>W7*(1+Asumptions!AA$6)</f>
        <v>7922.34</v>
      </c>
      <c r="AB7" s="2">
        <f>X7*(1+Asumptions!AB$6)</f>
        <v>6387.24</v>
      </c>
      <c r="AC7" s="2">
        <f>Y7*(1+Asumptions!AC$6)</f>
        <v>5198.9400000000005</v>
      </c>
      <c r="AD7" s="2">
        <f>Z7*(1+Asumptions!AD$6)</f>
        <v>6044.52</v>
      </c>
      <c r="AG7" s="2">
        <v>3981</v>
      </c>
      <c r="AH7" s="2">
        <v>5437</v>
      </c>
      <c r="AI7" s="2">
        <v>10571</v>
      </c>
      <c r="AJ7" s="2">
        <v>13462</v>
      </c>
      <c r="AK7" s="2">
        <v>15314</v>
      </c>
      <c r="AL7" s="2">
        <v>15706</v>
      </c>
      <c r="AM7" s="2">
        <v>16928</v>
      </c>
      <c r="AN7" s="2">
        <v>17733</v>
      </c>
      <c r="AO7" s="2">
        <v>21733</v>
      </c>
      <c r="AP7" s="2">
        <v>21506</v>
      </c>
      <c r="AQ7" s="2">
        <v>21418</v>
      </c>
      <c r="AR7" s="2">
        <v>28482</v>
      </c>
      <c r="AS7" s="2">
        <v>25977</v>
      </c>
      <c r="AT7" s="2">
        <v>24257</v>
      </c>
      <c r="AU7" s="2">
        <v>25052</v>
      </c>
      <c r="AV7" s="2">
        <f t="shared" si="0"/>
        <v>25553.040000000001</v>
      </c>
      <c r="AW7" s="2">
        <f>AV7*(1+Asumptions!AW$6)</f>
        <v>26191.865999999998</v>
      </c>
      <c r="AX7" s="2">
        <f>AW7*(1+Asumptions!AX$6)</f>
        <v>26846.662649999995</v>
      </c>
      <c r="AY7" s="2">
        <f>AX7*(1+Asumptions!AY$6)</f>
        <v>27383.595902999994</v>
      </c>
      <c r="AZ7" s="2">
        <f>AY7*(1+Asumptions!AZ$6)</f>
        <v>27931.267821059995</v>
      </c>
      <c r="BA7" s="2"/>
    </row>
    <row r="8" spans="2:53" x14ac:dyDescent="0.25">
      <c r="B8" t="s">
        <v>4</v>
      </c>
      <c r="C8" s="2">
        <v>6928</v>
      </c>
      <c r="D8" s="2">
        <v>3615</v>
      </c>
      <c r="E8" s="2">
        <v>3589</v>
      </c>
      <c r="F8" s="2">
        <f>+AP8-C8-D8-E8</f>
        <v>3656</v>
      </c>
      <c r="G8" s="2">
        <v>7378</v>
      </c>
      <c r="H8" s="2">
        <v>3885</v>
      </c>
      <c r="I8" s="2">
        <v>4199</v>
      </c>
      <c r="J8" s="2">
        <f>+AQ8-G8-H8-I8</f>
        <v>4131</v>
      </c>
      <c r="K8" s="2">
        <v>8225</v>
      </c>
      <c r="L8" s="2">
        <v>7544</v>
      </c>
      <c r="M8" s="2">
        <v>5395</v>
      </c>
      <c r="N8" s="2">
        <f>+AR8-K8-L8-M8</f>
        <v>5192</v>
      </c>
      <c r="O8" s="2">
        <v>9810</v>
      </c>
      <c r="P8" s="2">
        <v>7042</v>
      </c>
      <c r="Q8" s="2">
        <v>6150</v>
      </c>
      <c r="R8" s="2">
        <f>+AS8-O8-P8-Q8</f>
        <v>6373</v>
      </c>
      <c r="S8" s="2">
        <v>9535</v>
      </c>
      <c r="T8" s="2">
        <v>8119</v>
      </c>
      <c r="U8" s="2">
        <v>5630</v>
      </c>
      <c r="V8" s="2">
        <f>+AT8-S8-T8-U8</f>
        <v>6331</v>
      </c>
      <c r="W8" s="2">
        <v>10162</v>
      </c>
      <c r="X8" s="2">
        <v>6723</v>
      </c>
      <c r="Y8" s="2">
        <v>6390</v>
      </c>
      <c r="Z8" s="2">
        <f>+AU8-W8-X8-Y8</f>
        <v>7383</v>
      </c>
      <c r="AA8" s="2">
        <f>W8*(1+Asumptions!AA$6)</f>
        <v>10365.24</v>
      </c>
      <c r="AB8" s="2">
        <f>X8*(1+Asumptions!AB$6)</f>
        <v>6857.46</v>
      </c>
      <c r="AC8" s="2">
        <f>Y8*(1+Asumptions!AC$6)</f>
        <v>6517.8</v>
      </c>
      <c r="AD8" s="2">
        <f>Z8*(1+Asumptions!AD$6)</f>
        <v>7530.66</v>
      </c>
      <c r="AG8" s="2">
        <v>8256</v>
      </c>
      <c r="AH8" s="2">
        <v>9902</v>
      </c>
      <c r="AI8" s="2">
        <v>10741</v>
      </c>
      <c r="AJ8" s="2">
        <v>11181</v>
      </c>
      <c r="AK8" s="2">
        <v>11248</v>
      </c>
      <c r="AL8" s="2">
        <v>15093</v>
      </c>
      <c r="AM8" s="2">
        <v>13654</v>
      </c>
      <c r="AN8" s="2">
        <v>15199</v>
      </c>
      <c r="AO8" s="2">
        <v>17407</v>
      </c>
      <c r="AP8" s="2">
        <v>17788</v>
      </c>
      <c r="AQ8" s="2">
        <v>19593</v>
      </c>
      <c r="AR8" s="2">
        <v>26356</v>
      </c>
      <c r="AS8" s="2">
        <v>29375</v>
      </c>
      <c r="AT8" s="2">
        <v>29615</v>
      </c>
      <c r="AU8" s="2">
        <v>30658</v>
      </c>
      <c r="AV8" s="2">
        <f t="shared" si="0"/>
        <v>31271.16</v>
      </c>
      <c r="AW8" s="2">
        <f>AV8*(1+Asumptions!AW$6)</f>
        <v>32052.938999999998</v>
      </c>
      <c r="AX8" s="2">
        <f>AW8*(1+Asumptions!AX$6)</f>
        <v>32854.262474999996</v>
      </c>
      <c r="AY8" s="2">
        <f>AX8*(1+Asumptions!AY$6)</f>
        <v>33511.347724499996</v>
      </c>
      <c r="AZ8" s="2">
        <f>AY8*(1+Asumptions!AZ$6)</f>
        <v>34181.574678989993</v>
      </c>
      <c r="BA8" s="2"/>
    </row>
    <row r="9" spans="2:53" x14ac:dyDescent="0.25">
      <c r="B9" t="s">
        <v>93</v>
      </c>
      <c r="AA9" s="2"/>
      <c r="AB9" s="2"/>
      <c r="AC9" s="2"/>
      <c r="AD9" s="2"/>
      <c r="AG9" s="2">
        <v>9798</v>
      </c>
      <c r="AH9" s="2">
        <v>14127</v>
      </c>
      <c r="AI9" s="2">
        <v>18828</v>
      </c>
      <c r="AJ9" s="2">
        <v>20228</v>
      </c>
      <c r="AS9" s="2"/>
      <c r="AT9" s="2"/>
      <c r="AU9" s="2"/>
      <c r="AV9" s="2"/>
      <c r="AW9" s="2"/>
      <c r="AX9" s="2"/>
      <c r="AY9" s="2"/>
      <c r="AZ9" s="2"/>
      <c r="BA9" s="2"/>
    </row>
    <row r="10" spans="2:53" x14ac:dyDescent="0.25">
      <c r="AA10" s="2"/>
      <c r="AB10" s="2"/>
      <c r="AC10" s="2"/>
      <c r="AD10" s="2"/>
      <c r="AG10" s="2"/>
      <c r="AV10" s="2"/>
      <c r="AW10" s="2"/>
      <c r="AX10" s="2"/>
      <c r="AY10" s="2"/>
      <c r="AZ10" s="2"/>
      <c r="BA10" s="2"/>
    </row>
    <row r="11" spans="2:53" x14ac:dyDescent="0.25">
      <c r="B11" t="s">
        <v>5</v>
      </c>
      <c r="C11" s="2">
        <v>51982</v>
      </c>
      <c r="D11" s="2">
        <v>31051</v>
      </c>
      <c r="E11" s="2">
        <v>25986</v>
      </c>
      <c r="F11" s="6">
        <f>+AP11-C11-D11-E11</f>
        <v>33362</v>
      </c>
      <c r="G11" s="13">
        <v>55957</v>
      </c>
      <c r="H11" s="13">
        <v>28962</v>
      </c>
      <c r="I11" s="13">
        <v>26418</v>
      </c>
      <c r="J11" s="13">
        <v>26444</v>
      </c>
      <c r="K11" s="13">
        <v>65597</v>
      </c>
      <c r="L11" s="13">
        <v>47938</v>
      </c>
      <c r="M11" s="13">
        <v>39570</v>
      </c>
      <c r="N11" s="13">
        <v>38868</v>
      </c>
      <c r="O11" s="13">
        <v>71628</v>
      </c>
      <c r="P11" s="13">
        <v>50570</v>
      </c>
      <c r="Q11" s="13">
        <v>40665</v>
      </c>
      <c r="R11" s="13">
        <v>42626</v>
      </c>
      <c r="S11" s="13">
        <v>65775</v>
      </c>
      <c r="T11" s="13">
        <v>51334</v>
      </c>
      <c r="U11" s="2">
        <v>39669</v>
      </c>
      <c r="V11" s="2">
        <f>+AT11-S11-T11-U11</f>
        <v>43805</v>
      </c>
      <c r="W11" s="2">
        <v>69702</v>
      </c>
      <c r="X11" s="2">
        <v>45963</v>
      </c>
      <c r="Y11" s="2">
        <v>39296</v>
      </c>
      <c r="Z11" s="2">
        <f>+AU11-W11-X11-Y11</f>
        <v>46222</v>
      </c>
      <c r="AA11" s="2">
        <f>W11*(1+Asumptions!AA7)</f>
        <v>70189.91399999999</v>
      </c>
      <c r="AB11" s="2">
        <f>X11*(1+Asumptions!AB7)</f>
        <v>46284.740999999995</v>
      </c>
      <c r="AC11" s="2">
        <f>Y11*(1+Asumptions!AC7)</f>
        <v>39571.071999999993</v>
      </c>
      <c r="AD11" s="2">
        <f>Z11*(1+Asumptions!AD7)</f>
        <v>46545.553999999996</v>
      </c>
      <c r="AE11" s="2"/>
      <c r="AG11" s="2">
        <v>25179</v>
      </c>
      <c r="AH11" s="6">
        <v>45998</v>
      </c>
      <c r="AI11" s="6">
        <v>78692</v>
      </c>
      <c r="AJ11" s="6">
        <v>91279</v>
      </c>
      <c r="AK11" s="6">
        <v>101991</v>
      </c>
      <c r="AL11" s="6">
        <v>155041</v>
      </c>
      <c r="AM11" s="6">
        <v>136700</v>
      </c>
      <c r="AN11" s="6">
        <v>141319</v>
      </c>
      <c r="AO11" s="6">
        <v>164888</v>
      </c>
      <c r="AP11" s="6">
        <v>142381</v>
      </c>
      <c r="AQ11" s="6">
        <v>137781</v>
      </c>
      <c r="AR11" s="6">
        <v>191973</v>
      </c>
      <c r="AS11" s="2">
        <v>205489</v>
      </c>
      <c r="AT11" s="2">
        <v>200583</v>
      </c>
      <c r="AU11" s="2">
        <v>201183</v>
      </c>
      <c r="AV11" s="2">
        <f>SUM(AA11:AD11)</f>
        <v>202591.28099999999</v>
      </c>
      <c r="AW11" s="2">
        <f>AV11*(1+Asumptions!AW7)</f>
        <v>204819.78509099997</v>
      </c>
      <c r="AX11" s="2">
        <f>AW11*(1+Asumptions!AX7)</f>
        <v>207892.08186736496</v>
      </c>
      <c r="AY11" s="2">
        <f>AX11*(1+Asumptions!AY7)</f>
        <v>209347.3264404365</v>
      </c>
      <c r="AZ11" s="2">
        <f>AY11*(1+Asumptions!AZ7)</f>
        <v>211022.10505196001</v>
      </c>
      <c r="BA11" s="2"/>
    </row>
    <row r="12" spans="2:53" x14ac:dyDescent="0.25">
      <c r="B12" s="7" t="s">
        <v>6</v>
      </c>
      <c r="G12" s="13">
        <v>73800</v>
      </c>
      <c r="H12" s="13">
        <v>36700</v>
      </c>
      <c r="I12" s="13">
        <v>37600</v>
      </c>
      <c r="J12" s="13">
        <v>41700</v>
      </c>
      <c r="K12" s="13">
        <v>90100</v>
      </c>
      <c r="L12" s="13">
        <v>55200</v>
      </c>
      <c r="M12" s="13">
        <v>44200</v>
      </c>
      <c r="N12" s="13">
        <v>50400</v>
      </c>
      <c r="O12" s="13">
        <v>84100</v>
      </c>
      <c r="P12" s="13">
        <v>56500</v>
      </c>
      <c r="Q12" s="13">
        <f>+Q11/Q13*1000</f>
        <v>43260.117693779554</v>
      </c>
      <c r="R12" s="13"/>
      <c r="S12" s="13"/>
      <c r="T12" s="13"/>
      <c r="AA12" s="2"/>
      <c r="AB12" s="2"/>
      <c r="AC12" s="2"/>
      <c r="AD12" s="2"/>
      <c r="AG12" s="2">
        <v>39989</v>
      </c>
      <c r="AH12" s="6">
        <v>72293</v>
      </c>
      <c r="AI12" s="6">
        <v>125046</v>
      </c>
      <c r="AJ12" s="6">
        <v>150257</v>
      </c>
      <c r="AK12" s="6">
        <v>169219</v>
      </c>
      <c r="AL12" s="6">
        <v>231218</v>
      </c>
      <c r="AM12" s="6">
        <v>211884</v>
      </c>
      <c r="AN12" s="6">
        <v>216756</v>
      </c>
      <c r="AO12" s="6">
        <v>217722</v>
      </c>
      <c r="AP12" s="6">
        <v>185200</v>
      </c>
      <c r="AQ12" s="6">
        <v>189800</v>
      </c>
      <c r="AR12" s="6">
        <v>239900</v>
      </c>
      <c r="AS12" s="2">
        <v>225300</v>
      </c>
      <c r="AT12" s="2">
        <v>231800</v>
      </c>
      <c r="AU12" s="2">
        <f>50100+45200+56000+50433</f>
        <v>201733</v>
      </c>
      <c r="AV12" s="2">
        <f>AV11*1000/AV13</f>
        <v>203200.88365095286</v>
      </c>
      <c r="AW12" s="2">
        <f>AW11*1000/AW13</f>
        <v>205436.0933711133</v>
      </c>
      <c r="AX12" s="2">
        <f>AX11*1000/AX13</f>
        <v>208517.63477168002</v>
      </c>
      <c r="AY12" s="2">
        <f>AY11*1000/AY13</f>
        <v>209977.25821508176</v>
      </c>
      <c r="AZ12" s="2">
        <f>AZ11*1000/AZ13</f>
        <v>211657.07628080243</v>
      </c>
      <c r="BA12" s="2"/>
    </row>
    <row r="13" spans="2:53" x14ac:dyDescent="0.25">
      <c r="B13" s="7" t="s">
        <v>88</v>
      </c>
      <c r="G13" s="13">
        <f t="shared" ref="G13:P13" si="1">+G11*1000/G12</f>
        <v>758.22493224932248</v>
      </c>
      <c r="H13" s="13">
        <f t="shared" si="1"/>
        <v>789.15531335149865</v>
      </c>
      <c r="I13" s="13">
        <f t="shared" si="1"/>
        <v>702.60638297872345</v>
      </c>
      <c r="J13" s="13">
        <f t="shared" si="1"/>
        <v>634.14868105515586</v>
      </c>
      <c r="K13" s="13">
        <f t="shared" si="1"/>
        <v>728.04661487236399</v>
      </c>
      <c r="L13" s="13">
        <f t="shared" si="1"/>
        <v>868.44202898550725</v>
      </c>
      <c r="M13" s="13">
        <f t="shared" si="1"/>
        <v>895.24886877828055</v>
      </c>
      <c r="N13" s="13">
        <f t="shared" si="1"/>
        <v>771.19047619047615</v>
      </c>
      <c r="O13" s="13">
        <f t="shared" si="1"/>
        <v>851.70035671819267</v>
      </c>
      <c r="P13" s="13">
        <f t="shared" si="1"/>
        <v>895.04424778761063</v>
      </c>
      <c r="Q13" s="14">
        <f>+M13*1.05</f>
        <v>940.01131221719459</v>
      </c>
      <c r="R13" s="14"/>
      <c r="S13" s="13"/>
      <c r="T13" s="13"/>
      <c r="AA13" s="2"/>
      <c r="AB13" s="2"/>
      <c r="AC13" s="2"/>
      <c r="AD13" s="2"/>
      <c r="AG13" s="8">
        <f t="shared" ref="AG13:AU13" si="2">+AG11*1000/AG12</f>
        <v>629.64815324214157</v>
      </c>
      <c r="AH13" s="8">
        <f t="shared" si="2"/>
        <v>636.27183821393498</v>
      </c>
      <c r="AI13" s="8">
        <f t="shared" si="2"/>
        <v>629.3044159749212</v>
      </c>
      <c r="AJ13" s="8">
        <f t="shared" si="2"/>
        <v>607.48584092588032</v>
      </c>
      <c r="AK13" s="8">
        <f t="shared" si="2"/>
        <v>602.71600706776428</v>
      </c>
      <c r="AL13" s="8">
        <f t="shared" si="2"/>
        <v>670.54035585464794</v>
      </c>
      <c r="AM13" s="8">
        <f t="shared" si="2"/>
        <v>645.16433520228054</v>
      </c>
      <c r="AN13" s="8">
        <f t="shared" si="2"/>
        <v>651.97272509180834</v>
      </c>
      <c r="AO13" s="8">
        <f t="shared" si="2"/>
        <v>757.33274542765548</v>
      </c>
      <c r="AP13" s="8">
        <f t="shared" si="2"/>
        <v>768.79589632829379</v>
      </c>
      <c r="AQ13" s="8">
        <f t="shared" si="2"/>
        <v>725.92729188619603</v>
      </c>
      <c r="AR13" s="8">
        <f t="shared" si="2"/>
        <v>800.22092538557729</v>
      </c>
      <c r="AS13" s="8">
        <f t="shared" si="2"/>
        <v>912.06835330670219</v>
      </c>
      <c r="AT13" s="8">
        <f t="shared" si="2"/>
        <v>865.32786885245901</v>
      </c>
      <c r="AU13" s="8">
        <f t="shared" si="2"/>
        <v>997.27362404762732</v>
      </c>
      <c r="AV13" s="2">
        <v>997</v>
      </c>
      <c r="AW13" s="2">
        <v>997</v>
      </c>
      <c r="AX13" s="2">
        <v>997</v>
      </c>
      <c r="AY13" s="2">
        <v>997</v>
      </c>
      <c r="AZ13" s="2">
        <v>997</v>
      </c>
      <c r="BA13" s="2"/>
    </row>
    <row r="14" spans="2:53" x14ac:dyDescent="0.25"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AA14" s="2"/>
      <c r="AB14" s="2"/>
      <c r="AC14" s="2"/>
      <c r="AD14" s="2"/>
      <c r="AV14" s="2"/>
      <c r="AW14" s="2"/>
      <c r="AX14" s="2"/>
      <c r="AY14" s="2"/>
      <c r="AZ14" s="2"/>
      <c r="BA14" s="2"/>
    </row>
    <row r="15" spans="2:53" x14ac:dyDescent="0.25">
      <c r="B15" t="s">
        <v>7</v>
      </c>
      <c r="C15" s="2">
        <v>7416</v>
      </c>
      <c r="D15" s="2">
        <v>5513</v>
      </c>
      <c r="E15" s="2">
        <v>5820</v>
      </c>
      <c r="F15" s="6">
        <f>+AP15-C15-D15-E15</f>
        <v>6991</v>
      </c>
      <c r="G15" s="13">
        <v>7160</v>
      </c>
      <c r="H15" s="13">
        <v>5351</v>
      </c>
      <c r="I15" s="13">
        <v>7079</v>
      </c>
      <c r="J15" s="13">
        <v>9032</v>
      </c>
      <c r="K15" s="13">
        <v>8675</v>
      </c>
      <c r="L15" s="13">
        <v>9102</v>
      </c>
      <c r="M15" s="13">
        <v>8235</v>
      </c>
      <c r="N15" s="13">
        <v>9178</v>
      </c>
      <c r="O15" s="13">
        <v>10852</v>
      </c>
      <c r="P15" s="13">
        <v>10435</v>
      </c>
      <c r="Q15" s="13">
        <v>7382</v>
      </c>
      <c r="R15" s="13">
        <v>11508</v>
      </c>
      <c r="S15" s="13">
        <v>7735</v>
      </c>
      <c r="T15" s="13">
        <v>7168</v>
      </c>
      <c r="U15" s="2">
        <v>6840</v>
      </c>
      <c r="V15" s="2">
        <f>+AT15-S15-T15-U15</f>
        <v>7614</v>
      </c>
      <c r="W15" s="2">
        <v>7780</v>
      </c>
      <c r="X15" s="2">
        <v>7451</v>
      </c>
      <c r="Y15" s="2">
        <v>7009</v>
      </c>
      <c r="Z15" s="2">
        <f>+AU15-W15-X15-Y15</f>
        <v>7744</v>
      </c>
      <c r="AA15" s="2">
        <f>W15*(1+Asumptions!AA$6)</f>
        <v>7935.6</v>
      </c>
      <c r="AB15" s="2">
        <f>X15*(1+Asumptions!AB$6)</f>
        <v>7600.02</v>
      </c>
      <c r="AC15" s="2">
        <f>Y15*(1+Asumptions!AC$6)</f>
        <v>7149.18</v>
      </c>
      <c r="AD15" s="2">
        <f>Z15*(1+Asumptions!AD$6)</f>
        <v>7898.88</v>
      </c>
      <c r="AE15" s="2"/>
      <c r="AF15" s="2"/>
      <c r="AG15" s="2">
        <v>17479</v>
      </c>
      <c r="AH15" s="2">
        <v>21783</v>
      </c>
      <c r="AI15" s="2">
        <v>23221</v>
      </c>
      <c r="AJ15" s="2">
        <v>21483</v>
      </c>
      <c r="AK15" s="2">
        <v>24079</v>
      </c>
      <c r="AL15" s="2">
        <v>25471</v>
      </c>
      <c r="AM15" s="2">
        <v>22831</v>
      </c>
      <c r="AN15" s="2">
        <v>25850</v>
      </c>
      <c r="AO15" s="2">
        <v>25198</v>
      </c>
      <c r="AP15" s="2">
        <v>25740</v>
      </c>
      <c r="AQ15" s="2">
        <v>28622</v>
      </c>
      <c r="AR15" s="2">
        <v>35190</v>
      </c>
      <c r="AS15" s="2">
        <v>40177</v>
      </c>
      <c r="AT15" s="2">
        <v>29357</v>
      </c>
      <c r="AU15" s="2">
        <v>29984</v>
      </c>
      <c r="AV15" s="2">
        <f>SUM(AA15:AD15)</f>
        <v>30583.680000000004</v>
      </c>
      <c r="AW15" s="2">
        <f>AV15*(1+Asumptions!AW$6)</f>
        <v>31348.272000000001</v>
      </c>
      <c r="AX15" s="2">
        <f>AW15*(1+Asumptions!AX$6)</f>
        <v>32131.978799999997</v>
      </c>
      <c r="AY15" s="2">
        <f>AX15*(1+Asumptions!AY$6)</f>
        <v>32774.618375999999</v>
      </c>
      <c r="AZ15" s="2">
        <f>AY15*(1+Asumptions!AZ$6)</f>
        <v>33430.110743519996</v>
      </c>
      <c r="BA15" s="2"/>
    </row>
    <row r="16" spans="2:53" x14ac:dyDescent="0.25">
      <c r="B16" t="s">
        <v>8</v>
      </c>
      <c r="C16" s="2">
        <v>6729</v>
      </c>
      <c r="D16" s="2">
        <v>4872</v>
      </c>
      <c r="E16" s="2">
        <v>5023</v>
      </c>
      <c r="F16" s="6">
        <f>+AP16-C16-D16-E16</f>
        <v>4656</v>
      </c>
      <c r="G16" s="13">
        <v>5977</v>
      </c>
      <c r="H16" s="13">
        <v>4368</v>
      </c>
      <c r="I16" s="13">
        <v>6582</v>
      </c>
      <c r="J16" s="13">
        <v>6797</v>
      </c>
      <c r="K16" s="13">
        <v>8435</v>
      </c>
      <c r="L16" s="13">
        <v>7807</v>
      </c>
      <c r="M16" s="13">
        <v>7368</v>
      </c>
      <c r="N16" s="13">
        <v>8252</v>
      </c>
      <c r="O16" s="13">
        <v>7248</v>
      </c>
      <c r="P16" s="13">
        <v>7646</v>
      </c>
      <c r="Q16" s="13">
        <v>7224</v>
      </c>
      <c r="R16" s="13">
        <v>7174</v>
      </c>
      <c r="S16" s="13">
        <v>9396</v>
      </c>
      <c r="T16" s="13">
        <v>6670</v>
      </c>
      <c r="U16" s="2">
        <v>5791</v>
      </c>
      <c r="V16" s="2">
        <f>+AT16-S16-T16-U16</f>
        <v>6443</v>
      </c>
      <c r="W16" s="2">
        <v>7023</v>
      </c>
      <c r="X16" s="2">
        <v>5559</v>
      </c>
      <c r="Y16" s="2">
        <v>7162</v>
      </c>
      <c r="Z16" s="2">
        <f>+AU16-W16-X16-Y16</f>
        <v>6950</v>
      </c>
      <c r="AA16" s="2">
        <f>W16*(1+Asumptions!AA$6)</f>
        <v>7163.46</v>
      </c>
      <c r="AB16" s="2">
        <f>X16*(1+Asumptions!AB$6)</f>
        <v>5670.18</v>
      </c>
      <c r="AC16" s="2">
        <f>Y16*(1+Asumptions!AC$6)</f>
        <v>7305.24</v>
      </c>
      <c r="AD16" s="2">
        <f>Z16*(1+Asumptions!AD$6)</f>
        <v>7089</v>
      </c>
      <c r="AE16" s="2"/>
      <c r="AG16" s="2">
        <v>4958</v>
      </c>
      <c r="AH16" s="2">
        <v>19168</v>
      </c>
      <c r="AI16" s="2">
        <v>30945</v>
      </c>
      <c r="AJ16" s="2">
        <v>31980</v>
      </c>
      <c r="AK16" s="2">
        <v>30283</v>
      </c>
      <c r="AL16" s="2">
        <v>23227</v>
      </c>
      <c r="AM16" s="2">
        <v>20628</v>
      </c>
      <c r="AN16" s="2">
        <v>19222</v>
      </c>
      <c r="AO16" s="2">
        <v>18380</v>
      </c>
      <c r="AP16" s="2">
        <v>21280</v>
      </c>
      <c r="AQ16" s="2">
        <v>23724</v>
      </c>
      <c r="AR16" s="2">
        <v>31862</v>
      </c>
      <c r="AS16" s="2">
        <v>29292</v>
      </c>
      <c r="AT16" s="2">
        <v>28300</v>
      </c>
      <c r="AU16" s="2">
        <v>26694</v>
      </c>
      <c r="AV16" s="2">
        <f t="shared" ref="AV16:AV17" si="3">SUM(AA16:AD16)</f>
        <v>27227.879999999997</v>
      </c>
      <c r="AW16" s="2">
        <f>AV16*(1+Asumptions!AW$6)</f>
        <v>27908.576999999994</v>
      </c>
      <c r="AX16" s="2">
        <f>AW16*(1+Asumptions!AX$6)</f>
        <v>28606.291424999992</v>
      </c>
      <c r="AY16" s="2">
        <f>AX16*(1+Asumptions!AY$6)</f>
        <v>29178.417253499993</v>
      </c>
      <c r="AZ16" s="2">
        <f>AY16*(1+Asumptions!AZ$6)</f>
        <v>29761.985598569994</v>
      </c>
      <c r="BA16" s="2"/>
    </row>
    <row r="17" spans="2:53" x14ac:dyDescent="0.25">
      <c r="B17" t="s">
        <v>9</v>
      </c>
      <c r="C17" s="2">
        <v>7308</v>
      </c>
      <c r="D17" s="2">
        <v>5129</v>
      </c>
      <c r="E17" s="2">
        <v>5525</v>
      </c>
      <c r="F17" s="6">
        <f>+AP17-C17-D17-E17</f>
        <v>6520</v>
      </c>
      <c r="G17" s="13">
        <v>10010</v>
      </c>
      <c r="H17" s="13">
        <v>6284</v>
      </c>
      <c r="I17" s="13">
        <v>6450</v>
      </c>
      <c r="J17" s="13">
        <v>7876</v>
      </c>
      <c r="K17" s="13">
        <v>12971</v>
      </c>
      <c r="L17" s="13">
        <v>7836</v>
      </c>
      <c r="M17" s="13">
        <v>8775</v>
      </c>
      <c r="N17" s="13">
        <v>8785</v>
      </c>
      <c r="O17" s="13">
        <v>14701</v>
      </c>
      <c r="P17" s="13">
        <v>8806</v>
      </c>
      <c r="Q17" s="13">
        <v>8084</v>
      </c>
      <c r="R17" s="13">
        <v>9650</v>
      </c>
      <c r="S17" s="13">
        <v>13482</v>
      </c>
      <c r="T17" s="13">
        <v>8757</v>
      </c>
      <c r="U17" s="2">
        <v>8284</v>
      </c>
      <c r="V17" s="2">
        <f>+AT17-S17-T17-U17</f>
        <v>9322</v>
      </c>
      <c r="W17" s="2">
        <v>11953</v>
      </c>
      <c r="X17" s="2">
        <v>7913</v>
      </c>
      <c r="Y17" s="2">
        <v>8097</v>
      </c>
      <c r="Z17" s="2">
        <f>+AU17-W17-X17-Y17</f>
        <v>9042</v>
      </c>
      <c r="AA17" s="2">
        <f>W17*(1+Asumptions!AA$6)</f>
        <v>12192.06</v>
      </c>
      <c r="AB17" s="2">
        <f>X17*(1+Asumptions!AB$6)</f>
        <v>8071.26</v>
      </c>
      <c r="AC17" s="2">
        <f>Y17*(1+Asumptions!AC$6)</f>
        <v>8258.94</v>
      </c>
      <c r="AD17" s="2">
        <f>Z17*(1+Asumptions!AD$6)</f>
        <v>9222.84</v>
      </c>
      <c r="AE17" s="2"/>
      <c r="AG17" s="6">
        <f>1814+8274</f>
        <v>10088</v>
      </c>
      <c r="AH17" s="2">
        <v>11927</v>
      </c>
      <c r="AI17" s="2">
        <v>10760</v>
      </c>
      <c r="AJ17" s="2">
        <v>10117</v>
      </c>
      <c r="AK17" s="2">
        <v>8379</v>
      </c>
      <c r="AL17" s="2">
        <v>10067</v>
      </c>
      <c r="AM17" s="2">
        <v>11132</v>
      </c>
      <c r="AN17" s="2">
        <v>12863</v>
      </c>
      <c r="AO17" s="2">
        <v>17381</v>
      </c>
      <c r="AP17" s="2">
        <v>24482</v>
      </c>
      <c r="AQ17" s="2">
        <v>30620</v>
      </c>
      <c r="AR17" s="2">
        <v>38367</v>
      </c>
      <c r="AS17" s="2">
        <v>41241</v>
      </c>
      <c r="AT17" s="2">
        <v>39845</v>
      </c>
      <c r="AU17" s="2">
        <v>37005</v>
      </c>
      <c r="AV17" s="2">
        <f t="shared" si="3"/>
        <v>37745.100000000006</v>
      </c>
      <c r="AW17" s="2">
        <f>AV17*(1+Asumptions!AW$6)</f>
        <v>38688.727500000001</v>
      </c>
      <c r="AX17" s="2">
        <f>AW17*(1+Asumptions!AX$6)</f>
        <v>39655.945687499996</v>
      </c>
      <c r="AY17" s="2">
        <f>AX17*(1+Asumptions!AY$6)</f>
        <v>40449.06460125</v>
      </c>
      <c r="AZ17" s="2">
        <f>AY17*(1+Asumptions!AZ$6)</f>
        <v>41258.045893275004</v>
      </c>
      <c r="BA17" s="2"/>
    </row>
    <row r="18" spans="2:53" x14ac:dyDescent="0.25">
      <c r="AA18" s="2"/>
      <c r="AB18" s="2"/>
      <c r="AC18" s="2"/>
      <c r="AD18" s="2"/>
      <c r="AU18" s="9"/>
      <c r="AV18" s="27"/>
      <c r="AW18" s="2"/>
      <c r="AX18" s="2"/>
      <c r="AY18" s="2"/>
      <c r="AZ18" s="2"/>
      <c r="BA18" s="2"/>
    </row>
    <row r="19" spans="2:53" x14ac:dyDescent="0.25">
      <c r="B19" t="s">
        <v>10</v>
      </c>
      <c r="C19" s="2">
        <v>73435</v>
      </c>
      <c r="D19" s="2">
        <v>46565</v>
      </c>
      <c r="E19" s="2">
        <v>42354</v>
      </c>
      <c r="F19" s="2">
        <f>212883-C19-D19-E19</f>
        <v>50529</v>
      </c>
      <c r="G19" s="2">
        <v>79104</v>
      </c>
      <c r="H19" s="2">
        <v>44965</v>
      </c>
      <c r="I19" s="2">
        <v>46529</v>
      </c>
      <c r="J19" s="2">
        <f>220747-G19-H19-I19</f>
        <v>50149</v>
      </c>
      <c r="K19" s="2">
        <v>95678</v>
      </c>
      <c r="L19" s="2">
        <v>72683</v>
      </c>
      <c r="M19" s="2">
        <v>63948</v>
      </c>
      <c r="N19" s="2">
        <f>297392-K19-L19-M19</f>
        <v>65083</v>
      </c>
      <c r="O19" s="2">
        <v>104429</v>
      </c>
      <c r="P19" s="2">
        <v>77457</v>
      </c>
      <c r="Q19" s="2">
        <v>63355</v>
      </c>
      <c r="R19" s="2">
        <f>316199-O19-P19-Q19</f>
        <v>70958</v>
      </c>
      <c r="S19" s="2">
        <v>96388</v>
      </c>
      <c r="T19" s="2">
        <v>73929</v>
      </c>
      <c r="U19" s="2">
        <v>60584</v>
      </c>
      <c r="V19" s="2">
        <f>298085-S19-T19-U19</f>
        <v>67184</v>
      </c>
      <c r="W19" s="2">
        <v>96458</v>
      </c>
      <c r="X19" s="2">
        <v>66886</v>
      </c>
      <c r="Y19" s="2">
        <v>61564</v>
      </c>
      <c r="Z19" s="2">
        <f>294866-W19-X19-Y19</f>
        <v>69958</v>
      </c>
      <c r="AA19" s="2">
        <f>SUM(AA11:AA17)</f>
        <v>97481.034</v>
      </c>
      <c r="AB19" s="2">
        <f>SUM(AB11:AB17)</f>
        <v>67626.201000000001</v>
      </c>
      <c r="AC19" s="2">
        <f>SUM(AC11:AC17)</f>
        <v>62284.431999999993</v>
      </c>
      <c r="AD19" s="2">
        <f>SUM(AD11:AD17)</f>
        <v>70756.27399999999</v>
      </c>
      <c r="AG19">
        <v>57704</v>
      </c>
      <c r="AH19">
        <v>98876</v>
      </c>
      <c r="AI19">
        <v>143618</v>
      </c>
      <c r="AJ19">
        <v>154859</v>
      </c>
      <c r="AK19">
        <v>164732</v>
      </c>
      <c r="AL19">
        <v>213806</v>
      </c>
      <c r="AM19">
        <v>191291</v>
      </c>
      <c r="AN19">
        <v>199254</v>
      </c>
      <c r="AO19">
        <v>225847</v>
      </c>
      <c r="AP19">
        <v>213883</v>
      </c>
      <c r="AQ19">
        <v>220747</v>
      </c>
      <c r="AR19">
        <v>297392</v>
      </c>
      <c r="AS19" s="2">
        <f>+AS11+AS15+AS16+AS17</f>
        <v>316199</v>
      </c>
      <c r="AT19" s="2">
        <f>+AT11+AT15+AT16+AT17</f>
        <v>298085</v>
      </c>
      <c r="AU19" s="2">
        <f>+AU11+AU15+AU16+AU17</f>
        <v>294866</v>
      </c>
      <c r="AV19" s="2">
        <f>SUM(AA19:AD19)</f>
        <v>298147.94099999999</v>
      </c>
      <c r="AW19" s="2">
        <f>+AW11+AW15+AW16+AW17</f>
        <v>302765.36159099994</v>
      </c>
      <c r="AX19" s="2">
        <f>+AX11+AX15+AX16+AX17</f>
        <v>308286.29777986498</v>
      </c>
      <c r="AY19" s="2">
        <f>+AY11+AY15+AY16+AY17</f>
        <v>311749.42667118646</v>
      </c>
      <c r="AZ19" s="2">
        <f>+AZ11+AZ15+AZ16+AZ17</f>
        <v>315472.24728732498</v>
      </c>
      <c r="BA19" s="2"/>
    </row>
    <row r="20" spans="2:53" x14ac:dyDescent="0.25">
      <c r="B20" t="s">
        <v>11</v>
      </c>
      <c r="C20" s="2">
        <v>10875</v>
      </c>
      <c r="D20" s="2">
        <v>11450</v>
      </c>
      <c r="E20" s="2">
        <v>11455</v>
      </c>
      <c r="F20" s="2">
        <f>46291-C20-D20-E20</f>
        <v>12511</v>
      </c>
      <c r="G20" s="2">
        <v>12715</v>
      </c>
      <c r="H20" s="2">
        <v>13348</v>
      </c>
      <c r="I20" s="2">
        <v>13156</v>
      </c>
      <c r="J20" s="2">
        <f>53768-G20-H20-I20</f>
        <v>14549</v>
      </c>
      <c r="K20" s="2">
        <v>15761</v>
      </c>
      <c r="L20" s="2">
        <v>16901</v>
      </c>
      <c r="M20" s="2">
        <v>17486</v>
      </c>
      <c r="N20" s="2">
        <f>68425-K20-L20-M20</f>
        <v>18277</v>
      </c>
      <c r="O20" s="2">
        <v>19516</v>
      </c>
      <c r="P20" s="2">
        <v>19821</v>
      </c>
      <c r="Q20" s="2">
        <v>19604</v>
      </c>
      <c r="R20" s="2">
        <f>78129-O20-P20-Q20</f>
        <v>19188</v>
      </c>
      <c r="S20" s="2">
        <v>20766</v>
      </c>
      <c r="T20" s="2">
        <v>20907</v>
      </c>
      <c r="U20" s="2">
        <v>21213</v>
      </c>
      <c r="V20" s="2">
        <f>85200-S20-T20-U20</f>
        <v>22314</v>
      </c>
      <c r="W20" s="2">
        <v>23117</v>
      </c>
      <c r="X20" s="2">
        <v>23867</v>
      </c>
      <c r="Y20" s="2">
        <v>24213</v>
      </c>
      <c r="Z20" s="2">
        <f>96169-W20-X20-Y20</f>
        <v>24972</v>
      </c>
      <c r="AA20" s="2">
        <f>W20*(1+Asumptions!AA$8)</f>
        <v>24180.382000000001</v>
      </c>
      <c r="AB20" s="2">
        <f>X20*(1+Asumptions!AB$8)</f>
        <v>24964.882000000001</v>
      </c>
      <c r="AC20" s="2">
        <f>Y20*(1+Asumptions!AC$8)</f>
        <v>25326.798000000003</v>
      </c>
      <c r="AD20" s="2">
        <f>Z20*(1+Asumptions!AD$8)</f>
        <v>26120.712</v>
      </c>
      <c r="AG20">
        <v>7521</v>
      </c>
      <c r="AH20">
        <v>9373</v>
      </c>
      <c r="AI20">
        <v>12890</v>
      </c>
      <c r="AJ20">
        <v>16051</v>
      </c>
      <c r="AK20">
        <v>18063</v>
      </c>
      <c r="AL20">
        <v>19909</v>
      </c>
      <c r="AM20">
        <v>24348</v>
      </c>
      <c r="AN20">
        <v>29980</v>
      </c>
      <c r="AO20">
        <v>39748</v>
      </c>
      <c r="AP20">
        <v>46291</v>
      </c>
      <c r="AQ20">
        <v>53768</v>
      </c>
      <c r="AR20">
        <v>68425</v>
      </c>
      <c r="AS20" s="2">
        <v>78129</v>
      </c>
      <c r="AT20" s="2">
        <v>85200</v>
      </c>
      <c r="AU20" s="2">
        <v>96169</v>
      </c>
      <c r="AV20" s="2">
        <f>SUM(AA20:AD20)</f>
        <v>100592.774</v>
      </c>
      <c r="AW20" s="2">
        <f>AV20*(1+Asumptions!AW$8)</f>
        <v>106125.37656999999</v>
      </c>
      <c r="AX20" s="2">
        <f>AW20*(1+Asumptions!AX$8)</f>
        <v>111007.14389222</v>
      </c>
      <c r="AY20" s="2">
        <f>AX20*(1+Asumptions!AY$8)</f>
        <v>115780.45107958546</v>
      </c>
      <c r="AZ20" s="2">
        <f>AY20*(1+Asumptions!AZ$8)</f>
        <v>120759.01047600762</v>
      </c>
      <c r="BA20" s="2"/>
    </row>
    <row r="21" spans="2:53" x14ac:dyDescent="0.25">
      <c r="B21" s="1" t="s">
        <v>12</v>
      </c>
      <c r="C21" s="3">
        <f t="shared" ref="C21:AD21" si="4">+C19+C20</f>
        <v>84310</v>
      </c>
      <c r="D21" s="3">
        <f t="shared" si="4"/>
        <v>58015</v>
      </c>
      <c r="E21" s="3">
        <f t="shared" si="4"/>
        <v>53809</v>
      </c>
      <c r="F21" s="3">
        <f t="shared" si="4"/>
        <v>63040</v>
      </c>
      <c r="G21" s="3">
        <f t="shared" si="4"/>
        <v>91819</v>
      </c>
      <c r="H21" s="3">
        <f t="shared" si="4"/>
        <v>58313</v>
      </c>
      <c r="I21" s="3">
        <f t="shared" si="4"/>
        <v>59685</v>
      </c>
      <c r="J21" s="3">
        <f t="shared" si="4"/>
        <v>64698</v>
      </c>
      <c r="K21" s="3">
        <f t="shared" si="4"/>
        <v>111439</v>
      </c>
      <c r="L21" s="3">
        <f t="shared" si="4"/>
        <v>89584</v>
      </c>
      <c r="M21" s="3">
        <f t="shared" si="4"/>
        <v>81434</v>
      </c>
      <c r="N21" s="3">
        <f t="shared" si="4"/>
        <v>83360</v>
      </c>
      <c r="O21" s="3">
        <f t="shared" si="4"/>
        <v>123945</v>
      </c>
      <c r="P21" s="3">
        <f t="shared" si="4"/>
        <v>97278</v>
      </c>
      <c r="Q21" s="3">
        <f t="shared" si="4"/>
        <v>82959</v>
      </c>
      <c r="R21" s="3">
        <f t="shared" si="4"/>
        <v>90146</v>
      </c>
      <c r="S21" s="3">
        <f t="shared" si="4"/>
        <v>117154</v>
      </c>
      <c r="T21" s="3">
        <f t="shared" si="4"/>
        <v>94836</v>
      </c>
      <c r="U21" s="3">
        <f t="shared" si="4"/>
        <v>81797</v>
      </c>
      <c r="V21" s="3">
        <f t="shared" si="4"/>
        <v>89498</v>
      </c>
      <c r="W21" s="3">
        <f t="shared" si="4"/>
        <v>119575</v>
      </c>
      <c r="X21" s="3">
        <f t="shared" si="4"/>
        <v>90753</v>
      </c>
      <c r="Y21" s="3">
        <f t="shared" si="4"/>
        <v>85777</v>
      </c>
      <c r="Z21" s="3">
        <f t="shared" si="4"/>
        <v>94930</v>
      </c>
      <c r="AA21" s="3">
        <f t="shared" si="4"/>
        <v>121661.416</v>
      </c>
      <c r="AB21" s="3">
        <f t="shared" si="4"/>
        <v>92591.082999999999</v>
      </c>
      <c r="AC21" s="3">
        <f t="shared" si="4"/>
        <v>87611.23</v>
      </c>
      <c r="AD21" s="3">
        <f t="shared" si="4"/>
        <v>96876.98599999999</v>
      </c>
      <c r="AE21" s="2"/>
      <c r="AG21" s="3">
        <f t="shared" ref="AG21:AZ21" si="5">+AG19+AG20</f>
        <v>65225</v>
      </c>
      <c r="AH21" s="3">
        <f t="shared" si="5"/>
        <v>108249</v>
      </c>
      <c r="AI21" s="3">
        <f t="shared" si="5"/>
        <v>156508</v>
      </c>
      <c r="AJ21" s="3">
        <f t="shared" si="5"/>
        <v>170910</v>
      </c>
      <c r="AK21" s="3">
        <f t="shared" si="5"/>
        <v>182795</v>
      </c>
      <c r="AL21" s="3">
        <f t="shared" si="5"/>
        <v>233715</v>
      </c>
      <c r="AM21" s="3">
        <f t="shared" si="5"/>
        <v>215639</v>
      </c>
      <c r="AN21" s="3">
        <f t="shared" si="5"/>
        <v>229234</v>
      </c>
      <c r="AO21" s="3">
        <f t="shared" si="5"/>
        <v>265595</v>
      </c>
      <c r="AP21" s="3">
        <f t="shared" si="5"/>
        <v>260174</v>
      </c>
      <c r="AQ21" s="3">
        <f t="shared" si="5"/>
        <v>274515</v>
      </c>
      <c r="AR21" s="3">
        <f t="shared" si="5"/>
        <v>365817</v>
      </c>
      <c r="AS21" s="3">
        <f t="shared" si="5"/>
        <v>394328</v>
      </c>
      <c r="AT21" s="3">
        <f t="shared" si="5"/>
        <v>383285</v>
      </c>
      <c r="AU21" s="3">
        <f t="shared" si="5"/>
        <v>391035</v>
      </c>
      <c r="AV21" s="3">
        <f t="shared" si="5"/>
        <v>398740.71499999997</v>
      </c>
      <c r="AW21" s="3">
        <f t="shared" si="5"/>
        <v>408890.73816099996</v>
      </c>
      <c r="AX21" s="3">
        <f t="shared" si="5"/>
        <v>419293.44167208497</v>
      </c>
      <c r="AY21" s="3">
        <f t="shared" si="5"/>
        <v>427529.87775077194</v>
      </c>
      <c r="AZ21" s="3">
        <f t="shared" si="5"/>
        <v>436231.25776333257</v>
      </c>
      <c r="BA21" s="2"/>
    </row>
    <row r="22" spans="2:53" x14ac:dyDescent="0.25">
      <c r="B22" t="s">
        <v>86</v>
      </c>
      <c r="C22" s="2">
        <v>48238</v>
      </c>
      <c r="D22" s="2">
        <v>32047</v>
      </c>
      <c r="E22" s="2">
        <v>29473</v>
      </c>
      <c r="F22" s="2">
        <f>AP22-C22-D22-E22</f>
        <v>35238</v>
      </c>
      <c r="G22" s="2">
        <v>52075</v>
      </c>
      <c r="H22" s="2">
        <v>31321</v>
      </c>
      <c r="I22" s="2">
        <v>32693</v>
      </c>
      <c r="J22" s="2">
        <v>35197</v>
      </c>
      <c r="K22" s="2">
        <v>62130</v>
      </c>
      <c r="L22" s="2">
        <v>46447</v>
      </c>
      <c r="M22" s="2">
        <v>40899</v>
      </c>
      <c r="N22" s="2">
        <v>42790</v>
      </c>
      <c r="O22" s="2">
        <v>64309</v>
      </c>
      <c r="P22" s="2">
        <v>49290</v>
      </c>
      <c r="Q22" s="2">
        <v>41485</v>
      </c>
      <c r="R22" s="2">
        <v>46387</v>
      </c>
      <c r="S22" s="2">
        <v>60765</v>
      </c>
      <c r="T22" s="2">
        <v>46795</v>
      </c>
      <c r="U22" s="2">
        <v>39136</v>
      </c>
      <c r="V22" s="2">
        <f>AT22-S22-T22-U22</f>
        <v>42586</v>
      </c>
      <c r="W22" s="2">
        <v>58440</v>
      </c>
      <c r="X22" s="2">
        <v>42424</v>
      </c>
      <c r="Y22" s="2">
        <v>39803</v>
      </c>
      <c r="Z22" s="2">
        <f>AU22-W22-X22-Y22</f>
        <v>44566</v>
      </c>
      <c r="AA22" s="2">
        <f>AA19*Asumptions!AA11</f>
        <v>36262.944647999997</v>
      </c>
      <c r="AB22" s="2">
        <f>AB19*Asumptions!AB11</f>
        <v>25156.946771999999</v>
      </c>
      <c r="AC22" s="2">
        <f>AC19*Asumptions!AC11</f>
        <v>23169.808703999999</v>
      </c>
      <c r="AD22" s="2">
        <f>AD19*Asumptions!AD11</f>
        <v>26321.333927999996</v>
      </c>
      <c r="AE22" s="2"/>
      <c r="AO22" s="2">
        <v>148164</v>
      </c>
      <c r="AP22" s="2">
        <v>144996</v>
      </c>
      <c r="AQ22" s="2">
        <v>151286</v>
      </c>
      <c r="AR22" s="2">
        <v>192266</v>
      </c>
      <c r="AS22" s="2">
        <v>201471</v>
      </c>
      <c r="AT22" s="2">
        <v>189282</v>
      </c>
      <c r="AU22" s="2">
        <v>185233</v>
      </c>
      <c r="AV22" s="2">
        <f>SUM(AA22:AD22)</f>
        <v>110911.03405199999</v>
      </c>
      <c r="AW22" s="2">
        <f>AW19*Asumptions!AW11</f>
        <v>112570.0314288731</v>
      </c>
      <c r="AX22" s="2">
        <f>AX19*Asumptions!AX11</f>
        <v>114622.74960320938</v>
      </c>
      <c r="AY22" s="2">
        <f>AY19*Asumptions!AY11</f>
        <v>115910.36231455028</v>
      </c>
      <c r="AZ22" s="2">
        <f>AZ19*Asumptions!AZ11</f>
        <v>117294.53001312901</v>
      </c>
      <c r="BA22" s="2"/>
    </row>
    <row r="23" spans="2:53" x14ac:dyDescent="0.25">
      <c r="B23" t="s">
        <v>87</v>
      </c>
      <c r="C23" s="2">
        <v>4041</v>
      </c>
      <c r="D23" s="2">
        <v>4147</v>
      </c>
      <c r="E23" s="2">
        <v>4109</v>
      </c>
      <c r="F23" s="2">
        <f>AP23-C23-D23-E23</f>
        <v>4489</v>
      </c>
      <c r="G23" s="2">
        <v>4527</v>
      </c>
      <c r="H23" s="2">
        <v>4622</v>
      </c>
      <c r="I23" s="2">
        <v>4312</v>
      </c>
      <c r="J23" s="2">
        <v>4812</v>
      </c>
      <c r="K23" s="2">
        <v>4981</v>
      </c>
      <c r="L23" s="2">
        <v>5058</v>
      </c>
      <c r="M23" s="2">
        <v>5280</v>
      </c>
      <c r="N23" s="2">
        <v>5396</v>
      </c>
      <c r="O23" s="2">
        <v>5393</v>
      </c>
      <c r="P23" s="2">
        <v>5429</v>
      </c>
      <c r="Q23" s="2">
        <v>5589</v>
      </c>
      <c r="R23" s="2">
        <v>5664</v>
      </c>
      <c r="S23" s="2">
        <v>6057</v>
      </c>
      <c r="T23" s="2">
        <v>6065</v>
      </c>
      <c r="U23" s="2">
        <v>6248</v>
      </c>
      <c r="V23" s="2">
        <f>AT23-S23-T23-U23</f>
        <v>6485</v>
      </c>
      <c r="W23" s="2">
        <v>6280</v>
      </c>
      <c r="X23" s="2">
        <v>6058</v>
      </c>
      <c r="Y23" s="2">
        <v>6296</v>
      </c>
      <c r="Z23" s="2">
        <f>AU23-W23-X23-Y23</f>
        <v>6485</v>
      </c>
      <c r="AA23" s="2">
        <f>AA20*Asumptions!AA10</f>
        <v>17869.302298000002</v>
      </c>
      <c r="AB23" s="2">
        <f>AB20*Asumptions!AB10</f>
        <v>18449.047798</v>
      </c>
      <c r="AC23" s="2">
        <f>AC20*Asumptions!AC10</f>
        <v>18716.503722000001</v>
      </c>
      <c r="AD23" s="2">
        <f>AD20*Asumptions!AD10</f>
        <v>19303.206168000001</v>
      </c>
      <c r="AE23" s="2"/>
      <c r="AO23" s="2">
        <v>15592</v>
      </c>
      <c r="AP23" s="2">
        <v>16786</v>
      </c>
      <c r="AQ23" s="2">
        <v>18273</v>
      </c>
      <c r="AR23" s="2">
        <v>20715</v>
      </c>
      <c r="AS23" s="2">
        <v>22075</v>
      </c>
      <c r="AT23" s="2">
        <v>24855</v>
      </c>
      <c r="AU23" s="2">
        <v>25119</v>
      </c>
      <c r="AV23" s="2">
        <f>SUM(AA23:AD23)</f>
        <v>74338.059986000007</v>
      </c>
      <c r="AW23" s="2">
        <f>AW20*Asumptions!AW10</f>
        <v>78405.806499999992</v>
      </c>
      <c r="AX23" s="2">
        <f>AX20*Asumptions!AX10</f>
        <v>82012.473599000004</v>
      </c>
      <c r="AY23" s="2">
        <f>AY20*Asumptions!AY10</f>
        <v>85539.009963756995</v>
      </c>
      <c r="AZ23" s="2">
        <f>AZ20*Asumptions!AZ10</f>
        <v>89217.187392198539</v>
      </c>
      <c r="BA23" s="2"/>
    </row>
    <row r="24" spans="2:53" x14ac:dyDescent="0.25">
      <c r="B24" t="s">
        <v>13</v>
      </c>
      <c r="C24" s="2">
        <f t="shared" ref="C24:AA24" si="6">+C22+C23</f>
        <v>52279</v>
      </c>
      <c r="D24" s="2">
        <f t="shared" si="6"/>
        <v>36194</v>
      </c>
      <c r="E24" s="2">
        <f t="shared" si="6"/>
        <v>33582</v>
      </c>
      <c r="F24" s="2">
        <f t="shared" si="6"/>
        <v>39727</v>
      </c>
      <c r="G24" s="2">
        <f t="shared" si="6"/>
        <v>56602</v>
      </c>
      <c r="H24" s="2">
        <f t="shared" si="6"/>
        <v>35943</v>
      </c>
      <c r="I24" s="2">
        <f t="shared" si="6"/>
        <v>37005</v>
      </c>
      <c r="J24" s="2">
        <f t="shared" si="6"/>
        <v>40009</v>
      </c>
      <c r="K24" s="2">
        <f t="shared" si="6"/>
        <v>67111</v>
      </c>
      <c r="L24" s="2">
        <f t="shared" si="6"/>
        <v>51505</v>
      </c>
      <c r="M24" s="2">
        <f t="shared" si="6"/>
        <v>46179</v>
      </c>
      <c r="N24" s="2">
        <f t="shared" si="6"/>
        <v>48186</v>
      </c>
      <c r="O24" s="2">
        <f t="shared" si="6"/>
        <v>69702</v>
      </c>
      <c r="P24" s="2">
        <f t="shared" si="6"/>
        <v>54719</v>
      </c>
      <c r="Q24" s="2">
        <f t="shared" si="6"/>
        <v>47074</v>
      </c>
      <c r="R24" s="2">
        <f t="shared" si="6"/>
        <v>52051</v>
      </c>
      <c r="S24" s="2">
        <f t="shared" si="6"/>
        <v>66822</v>
      </c>
      <c r="T24" s="2">
        <f t="shared" si="6"/>
        <v>52860</v>
      </c>
      <c r="U24" s="2">
        <f t="shared" si="6"/>
        <v>45384</v>
      </c>
      <c r="V24" s="2">
        <f t="shared" si="6"/>
        <v>49071</v>
      </c>
      <c r="W24" s="2">
        <f t="shared" si="6"/>
        <v>64720</v>
      </c>
      <c r="X24" s="2">
        <f t="shared" si="6"/>
        <v>48482</v>
      </c>
      <c r="Y24" s="2">
        <f t="shared" si="6"/>
        <v>46099</v>
      </c>
      <c r="Z24" s="2">
        <f t="shared" si="6"/>
        <v>51051</v>
      </c>
      <c r="AA24" s="2">
        <f t="shared" si="6"/>
        <v>54132.246945999999</v>
      </c>
      <c r="AB24" s="2">
        <f t="shared" ref="AB24:AD24" si="7">+AB22+AB23</f>
        <v>43605.994569999995</v>
      </c>
      <c r="AC24" s="2">
        <f t="shared" si="7"/>
        <v>41886.312426000004</v>
      </c>
      <c r="AD24" s="2">
        <f t="shared" si="7"/>
        <v>45624.540095999997</v>
      </c>
      <c r="AE24" s="2"/>
      <c r="AG24" s="2">
        <v>39541</v>
      </c>
      <c r="AH24" s="2">
        <v>64431</v>
      </c>
      <c r="AI24" s="2">
        <v>87846</v>
      </c>
      <c r="AJ24" s="2">
        <v>106606</v>
      </c>
      <c r="AK24" s="2">
        <v>112258</v>
      </c>
      <c r="AL24" s="2">
        <v>140089</v>
      </c>
      <c r="AM24" s="2">
        <v>131376</v>
      </c>
      <c r="AN24" s="2">
        <v>141048</v>
      </c>
      <c r="AO24" s="2">
        <f t="shared" ref="AO24:AZ24" si="8">+AO22+AO23</f>
        <v>163756</v>
      </c>
      <c r="AP24" s="2">
        <f t="shared" si="8"/>
        <v>161782</v>
      </c>
      <c r="AQ24" s="2">
        <f t="shared" si="8"/>
        <v>169559</v>
      </c>
      <c r="AR24" s="2">
        <f t="shared" si="8"/>
        <v>212981</v>
      </c>
      <c r="AS24" s="2">
        <f t="shared" si="8"/>
        <v>223546</v>
      </c>
      <c r="AT24" s="2">
        <f t="shared" si="8"/>
        <v>214137</v>
      </c>
      <c r="AU24" s="2">
        <f t="shared" si="8"/>
        <v>210352</v>
      </c>
      <c r="AV24" s="2">
        <f t="shared" si="8"/>
        <v>185249.09403799998</v>
      </c>
      <c r="AW24" s="2">
        <f t="shared" si="8"/>
        <v>190975.83792887308</v>
      </c>
      <c r="AX24" s="2">
        <f t="shared" si="8"/>
        <v>196635.2232022094</v>
      </c>
      <c r="AY24" s="2">
        <f t="shared" si="8"/>
        <v>201449.37227830727</v>
      </c>
      <c r="AZ24" s="2">
        <f t="shared" si="8"/>
        <v>206511.71740532754</v>
      </c>
      <c r="BA24" s="2"/>
    </row>
    <row r="25" spans="2:53" x14ac:dyDescent="0.25">
      <c r="B25" t="s">
        <v>14</v>
      </c>
      <c r="C25" s="2">
        <f t="shared" ref="C25:AD25" si="9">+C21-C24</f>
        <v>32031</v>
      </c>
      <c r="D25" s="2">
        <f t="shared" si="9"/>
        <v>21821</v>
      </c>
      <c r="E25" s="2">
        <f t="shared" si="9"/>
        <v>20227</v>
      </c>
      <c r="F25" s="2">
        <f t="shared" si="9"/>
        <v>23313</v>
      </c>
      <c r="G25" s="2">
        <f t="shared" si="9"/>
        <v>35217</v>
      </c>
      <c r="H25" s="2">
        <f t="shared" si="9"/>
        <v>22370</v>
      </c>
      <c r="I25" s="2">
        <f t="shared" si="9"/>
        <v>22680</v>
      </c>
      <c r="J25" s="2">
        <f t="shared" si="9"/>
        <v>24689</v>
      </c>
      <c r="K25" s="2">
        <f t="shared" si="9"/>
        <v>44328</v>
      </c>
      <c r="L25" s="2">
        <f t="shared" si="9"/>
        <v>38079</v>
      </c>
      <c r="M25" s="2">
        <f t="shared" si="9"/>
        <v>35255</v>
      </c>
      <c r="N25" s="2">
        <f t="shared" si="9"/>
        <v>35174</v>
      </c>
      <c r="O25" s="2">
        <f t="shared" si="9"/>
        <v>54243</v>
      </c>
      <c r="P25" s="2">
        <f t="shared" si="9"/>
        <v>42559</v>
      </c>
      <c r="Q25" s="2">
        <f t="shared" si="9"/>
        <v>35885</v>
      </c>
      <c r="R25" s="2">
        <f t="shared" si="9"/>
        <v>38095</v>
      </c>
      <c r="S25" s="2">
        <f t="shared" si="9"/>
        <v>50332</v>
      </c>
      <c r="T25" s="2">
        <f t="shared" si="9"/>
        <v>41976</v>
      </c>
      <c r="U25" s="2">
        <f t="shared" si="9"/>
        <v>36413</v>
      </c>
      <c r="V25" s="2">
        <f t="shared" si="9"/>
        <v>40427</v>
      </c>
      <c r="W25" s="2">
        <f t="shared" si="9"/>
        <v>54855</v>
      </c>
      <c r="X25" s="2">
        <f t="shared" si="9"/>
        <v>42271</v>
      </c>
      <c r="Y25" s="2">
        <f t="shared" si="9"/>
        <v>39678</v>
      </c>
      <c r="Z25" s="2">
        <f t="shared" si="9"/>
        <v>43879</v>
      </c>
      <c r="AA25" s="2">
        <f t="shared" si="9"/>
        <v>67529.169053999998</v>
      </c>
      <c r="AB25" s="2">
        <f t="shared" si="9"/>
        <v>48985.088430000003</v>
      </c>
      <c r="AC25" s="2">
        <f t="shared" si="9"/>
        <v>45724.917573999992</v>
      </c>
      <c r="AD25" s="2">
        <f t="shared" si="9"/>
        <v>51252.445903999993</v>
      </c>
      <c r="AG25" s="2">
        <f t="shared" ref="AG25:AZ25" si="10">+AG21-AG24</f>
        <v>25684</v>
      </c>
      <c r="AH25" s="2">
        <f t="shared" si="10"/>
        <v>43818</v>
      </c>
      <c r="AI25" s="2">
        <f t="shared" si="10"/>
        <v>68662</v>
      </c>
      <c r="AJ25" s="2">
        <f t="shared" si="10"/>
        <v>64304</v>
      </c>
      <c r="AK25" s="2">
        <f t="shared" si="10"/>
        <v>70537</v>
      </c>
      <c r="AL25" s="2">
        <f t="shared" si="10"/>
        <v>93626</v>
      </c>
      <c r="AM25" s="2">
        <f t="shared" si="10"/>
        <v>84263</v>
      </c>
      <c r="AN25" s="2">
        <f t="shared" si="10"/>
        <v>88186</v>
      </c>
      <c r="AO25" s="2">
        <f t="shared" si="10"/>
        <v>101839</v>
      </c>
      <c r="AP25" s="2">
        <f t="shared" si="10"/>
        <v>98392</v>
      </c>
      <c r="AQ25" s="2">
        <f t="shared" si="10"/>
        <v>104956</v>
      </c>
      <c r="AR25" s="2">
        <f t="shared" si="10"/>
        <v>152836</v>
      </c>
      <c r="AS25" s="2">
        <f t="shared" si="10"/>
        <v>170782</v>
      </c>
      <c r="AT25" s="2">
        <f t="shared" si="10"/>
        <v>169148</v>
      </c>
      <c r="AU25" s="2">
        <f t="shared" si="10"/>
        <v>180683</v>
      </c>
      <c r="AV25" s="2">
        <f t="shared" si="10"/>
        <v>213491.62096199999</v>
      </c>
      <c r="AW25" s="2">
        <f t="shared" si="10"/>
        <v>217914.90023212688</v>
      </c>
      <c r="AX25" s="2">
        <f t="shared" si="10"/>
        <v>222658.21846987557</v>
      </c>
      <c r="AY25" s="2">
        <f t="shared" si="10"/>
        <v>226080.50547246466</v>
      </c>
      <c r="AZ25" s="2">
        <f t="shared" si="10"/>
        <v>229719.54035800503</v>
      </c>
      <c r="BA25" s="2"/>
    </row>
    <row r="26" spans="2:53" x14ac:dyDescent="0.25">
      <c r="B26" t="s">
        <v>15</v>
      </c>
      <c r="G26" s="2">
        <v>4451</v>
      </c>
      <c r="H26" s="2">
        <v>4565</v>
      </c>
      <c r="I26" s="2">
        <v>4758</v>
      </c>
      <c r="J26" s="2">
        <v>4978</v>
      </c>
      <c r="K26" s="2">
        <v>5163</v>
      </c>
      <c r="L26" s="2">
        <v>5262</v>
      </c>
      <c r="M26" s="2">
        <v>5717</v>
      </c>
      <c r="N26" s="2">
        <v>5772</v>
      </c>
      <c r="O26" s="2">
        <v>6306</v>
      </c>
      <c r="P26" s="2">
        <v>6387</v>
      </c>
      <c r="Q26" s="2">
        <v>6797</v>
      </c>
      <c r="R26" s="2">
        <v>6761</v>
      </c>
      <c r="S26" s="2">
        <v>7709</v>
      </c>
      <c r="T26" s="2">
        <v>7457</v>
      </c>
      <c r="U26" s="2">
        <v>7442</v>
      </c>
      <c r="V26" s="2">
        <f>+AT26-S26-T26-U26</f>
        <v>7307</v>
      </c>
      <c r="W26" s="2">
        <v>7696</v>
      </c>
      <c r="X26" s="2">
        <v>7903</v>
      </c>
      <c r="Y26" s="2">
        <v>8006</v>
      </c>
      <c r="Z26" s="2">
        <f>+AU26-W26-X26-Y26</f>
        <v>7765</v>
      </c>
      <c r="AA26" s="2">
        <f>AA21*Asumptions!AA13</f>
        <v>9732.9132800000007</v>
      </c>
      <c r="AB26" s="2">
        <f>AB21*Asumptions!AB13</f>
        <v>7407.2866400000003</v>
      </c>
      <c r="AC26" s="2">
        <f>AC21*Asumptions!AC13</f>
        <v>7008.8984</v>
      </c>
      <c r="AD26" s="2">
        <f>AD21*Asumptions!AD13</f>
        <v>7750.158879999999</v>
      </c>
      <c r="AG26" s="2">
        <v>1782</v>
      </c>
      <c r="AH26" s="2">
        <v>2429</v>
      </c>
      <c r="AI26" s="2">
        <v>3381</v>
      </c>
      <c r="AJ26" s="2">
        <v>4475</v>
      </c>
      <c r="AK26" s="2">
        <v>6041</v>
      </c>
      <c r="AL26" s="2">
        <v>8067</v>
      </c>
      <c r="AM26" s="2">
        <v>10045</v>
      </c>
      <c r="AN26" s="2">
        <v>11581</v>
      </c>
      <c r="AO26" s="2">
        <v>14236</v>
      </c>
      <c r="AP26" s="2">
        <v>16217</v>
      </c>
      <c r="AQ26" s="2">
        <v>18752</v>
      </c>
      <c r="AR26" s="2">
        <v>21914</v>
      </c>
      <c r="AS26" s="2">
        <v>26251</v>
      </c>
      <c r="AT26" s="2">
        <v>29915</v>
      </c>
      <c r="AU26" s="2">
        <v>31370</v>
      </c>
      <c r="AV26" s="2">
        <f>SUM(AA26:AD26)</f>
        <v>31899.257199999996</v>
      </c>
      <c r="AW26" s="2">
        <f>AW21*Asumptions!AW13</f>
        <v>32711.259052879996</v>
      </c>
      <c r="AX26" s="2">
        <f>AX21*Asumptions!AX13</f>
        <v>33543.475333766801</v>
      </c>
      <c r="AY26" s="2">
        <f>AY21*Asumptions!AY13</f>
        <v>34202.390220061752</v>
      </c>
      <c r="AZ26" s="2">
        <f>AZ21*Asumptions!AZ13</f>
        <v>34898.500621066603</v>
      </c>
      <c r="BA26" s="2"/>
    </row>
    <row r="27" spans="2:53" x14ac:dyDescent="0.25">
      <c r="B27" t="s">
        <v>16</v>
      </c>
      <c r="G27" s="2">
        <v>5197</v>
      </c>
      <c r="H27" s="2">
        <v>4952</v>
      </c>
      <c r="I27" s="2">
        <v>4831</v>
      </c>
      <c r="J27" s="2">
        <v>4936</v>
      </c>
      <c r="K27" s="2">
        <v>5631</v>
      </c>
      <c r="L27" s="2">
        <v>5314</v>
      </c>
      <c r="M27" s="2">
        <v>5412</v>
      </c>
      <c r="N27" s="2">
        <v>5616</v>
      </c>
      <c r="O27" s="2">
        <v>6449</v>
      </c>
      <c r="P27" s="2">
        <v>6193</v>
      </c>
      <c r="Q27" s="2">
        <v>6012</v>
      </c>
      <c r="R27" s="2">
        <v>6440</v>
      </c>
      <c r="S27" s="2">
        <v>6607</v>
      </c>
      <c r="T27" s="2">
        <v>6201</v>
      </c>
      <c r="U27" s="2">
        <v>5973</v>
      </c>
      <c r="V27" s="2">
        <f>+AT27-S27-T27-U27</f>
        <v>6151</v>
      </c>
      <c r="W27" s="2">
        <v>6786</v>
      </c>
      <c r="X27" s="2">
        <v>6468</v>
      </c>
      <c r="Y27" s="2">
        <v>6320</v>
      </c>
      <c r="Z27" s="2">
        <f>+AU27-W27-X27-Y27</f>
        <v>6523</v>
      </c>
      <c r="AA27" s="2">
        <f>AA21*Asumptions!AA14</f>
        <v>8151.3148719999999</v>
      </c>
      <c r="AB27" s="2">
        <f>AB21*Asumptions!AB14</f>
        <v>6203.6025610000006</v>
      </c>
      <c r="AC27" s="2">
        <f>AC21*Asumptions!AC14</f>
        <v>5869.9524099999999</v>
      </c>
      <c r="AD27" s="2">
        <f>AD21*Asumptions!AD14</f>
        <v>6490.7580619999999</v>
      </c>
      <c r="AG27" s="2">
        <v>5517</v>
      </c>
      <c r="AH27" s="2">
        <v>7599</v>
      </c>
      <c r="AI27" s="2">
        <v>10040</v>
      </c>
      <c r="AJ27" s="2">
        <v>10830</v>
      </c>
      <c r="AK27" s="2">
        <v>11993</v>
      </c>
      <c r="AL27" s="2">
        <v>14329</v>
      </c>
      <c r="AM27" s="2">
        <v>14194</v>
      </c>
      <c r="AN27" s="2">
        <v>15261</v>
      </c>
      <c r="AO27" s="2">
        <v>16705</v>
      </c>
      <c r="AP27" s="2">
        <v>18245</v>
      </c>
      <c r="AQ27" s="2">
        <v>19916</v>
      </c>
      <c r="AR27" s="2">
        <v>21973</v>
      </c>
      <c r="AS27" s="2">
        <v>25094</v>
      </c>
      <c r="AT27" s="2">
        <v>24932</v>
      </c>
      <c r="AU27" s="2">
        <v>26097</v>
      </c>
      <c r="AV27" s="2">
        <f>SUM(AA27:AD27)</f>
        <v>26715.627905000001</v>
      </c>
      <c r="AW27" s="2">
        <f>AW21*Asumptions!AW14</f>
        <v>27395.679456786998</v>
      </c>
      <c r="AX27" s="2">
        <f>AX21*Asumptions!AX14</f>
        <v>28092.660592029693</v>
      </c>
      <c r="AY27" s="2">
        <f>AY21*Asumptions!AY14</f>
        <v>28644.501809301721</v>
      </c>
      <c r="AZ27" s="2">
        <f>AZ21*Asumptions!AZ14</f>
        <v>29227.494270143285</v>
      </c>
      <c r="BA27" s="2"/>
    </row>
    <row r="28" spans="2:53" x14ac:dyDescent="0.25">
      <c r="B28" t="s">
        <v>17</v>
      </c>
      <c r="C28">
        <f t="shared" ref="C28:AD28" si="11">+C26+C27</f>
        <v>0</v>
      </c>
      <c r="D28">
        <f t="shared" si="11"/>
        <v>0</v>
      </c>
      <c r="E28">
        <f t="shared" si="11"/>
        <v>0</v>
      </c>
      <c r="F28">
        <f t="shared" si="11"/>
        <v>0</v>
      </c>
      <c r="G28">
        <f t="shared" si="11"/>
        <v>9648</v>
      </c>
      <c r="H28">
        <f t="shared" si="11"/>
        <v>9517</v>
      </c>
      <c r="I28">
        <f t="shared" si="11"/>
        <v>9589</v>
      </c>
      <c r="J28">
        <f t="shared" si="11"/>
        <v>9914</v>
      </c>
      <c r="K28">
        <f t="shared" si="11"/>
        <v>10794</v>
      </c>
      <c r="L28">
        <f t="shared" si="11"/>
        <v>10576</v>
      </c>
      <c r="M28">
        <f t="shared" si="11"/>
        <v>11129</v>
      </c>
      <c r="N28">
        <f t="shared" si="11"/>
        <v>11388</v>
      </c>
      <c r="O28">
        <f t="shared" si="11"/>
        <v>12755</v>
      </c>
      <c r="P28">
        <f t="shared" si="11"/>
        <v>12580</v>
      </c>
      <c r="Q28">
        <f t="shared" si="11"/>
        <v>12809</v>
      </c>
      <c r="R28">
        <f t="shared" si="11"/>
        <v>13201</v>
      </c>
      <c r="S28">
        <f t="shared" si="11"/>
        <v>14316</v>
      </c>
      <c r="T28">
        <f t="shared" si="11"/>
        <v>13658</v>
      </c>
      <c r="U28">
        <f t="shared" si="11"/>
        <v>13415</v>
      </c>
      <c r="V28">
        <f t="shared" si="11"/>
        <v>13458</v>
      </c>
      <c r="W28">
        <f t="shared" si="11"/>
        <v>14482</v>
      </c>
      <c r="X28">
        <f t="shared" si="11"/>
        <v>14371</v>
      </c>
      <c r="Y28">
        <f t="shared" si="11"/>
        <v>14326</v>
      </c>
      <c r="Z28">
        <f t="shared" si="11"/>
        <v>14288</v>
      </c>
      <c r="AA28" s="2">
        <f t="shared" si="11"/>
        <v>17884.228152</v>
      </c>
      <c r="AB28" s="2">
        <f t="shared" si="11"/>
        <v>13610.889201000002</v>
      </c>
      <c r="AC28" s="2">
        <f t="shared" si="11"/>
        <v>12878.85081</v>
      </c>
      <c r="AD28" s="2">
        <f t="shared" si="11"/>
        <v>14240.916942</v>
      </c>
      <c r="AG28" s="6">
        <f t="shared" ref="AG28:AZ28" si="12">+AG26+AG27</f>
        <v>7299</v>
      </c>
      <c r="AH28" s="6">
        <f t="shared" si="12"/>
        <v>10028</v>
      </c>
      <c r="AI28" s="6">
        <f t="shared" si="12"/>
        <v>13421</v>
      </c>
      <c r="AJ28" s="6">
        <f t="shared" si="12"/>
        <v>15305</v>
      </c>
      <c r="AK28" s="6">
        <f t="shared" si="12"/>
        <v>18034</v>
      </c>
      <c r="AL28" s="6">
        <f t="shared" si="12"/>
        <v>22396</v>
      </c>
      <c r="AM28" s="6">
        <f t="shared" si="12"/>
        <v>24239</v>
      </c>
      <c r="AN28" s="6">
        <f t="shared" si="12"/>
        <v>26842</v>
      </c>
      <c r="AO28" s="6">
        <f t="shared" si="12"/>
        <v>30941</v>
      </c>
      <c r="AP28" s="6">
        <f t="shared" si="12"/>
        <v>34462</v>
      </c>
      <c r="AQ28" s="6">
        <f t="shared" si="12"/>
        <v>38668</v>
      </c>
      <c r="AR28" s="6">
        <f t="shared" si="12"/>
        <v>43887</v>
      </c>
      <c r="AS28" s="6">
        <f t="shared" si="12"/>
        <v>51345</v>
      </c>
      <c r="AT28" s="6">
        <f t="shared" si="12"/>
        <v>54847</v>
      </c>
      <c r="AU28" s="6">
        <f t="shared" si="12"/>
        <v>57467</v>
      </c>
      <c r="AV28" s="6">
        <f t="shared" si="12"/>
        <v>58614.885104999994</v>
      </c>
      <c r="AW28" s="6">
        <f t="shared" si="12"/>
        <v>60106.938509666994</v>
      </c>
      <c r="AX28" s="6">
        <f t="shared" si="12"/>
        <v>61636.135925796494</v>
      </c>
      <c r="AY28" s="6">
        <f t="shared" si="12"/>
        <v>62846.892029363473</v>
      </c>
      <c r="AZ28" s="6">
        <f t="shared" si="12"/>
        <v>64125.994891209892</v>
      </c>
      <c r="BA28" s="2"/>
    </row>
    <row r="29" spans="2:53" x14ac:dyDescent="0.25">
      <c r="B29" t="s">
        <v>90</v>
      </c>
      <c r="C29" s="2">
        <f t="shared" ref="C29:AD29" si="13">+C25-C28</f>
        <v>32031</v>
      </c>
      <c r="D29" s="2">
        <f t="shared" si="13"/>
        <v>21821</v>
      </c>
      <c r="E29" s="2">
        <f t="shared" si="13"/>
        <v>20227</v>
      </c>
      <c r="F29" s="2">
        <f t="shared" si="13"/>
        <v>23313</v>
      </c>
      <c r="G29" s="2">
        <f t="shared" si="13"/>
        <v>25569</v>
      </c>
      <c r="H29" s="2">
        <f t="shared" si="13"/>
        <v>12853</v>
      </c>
      <c r="I29" s="2">
        <f t="shared" si="13"/>
        <v>13091</v>
      </c>
      <c r="J29" s="2">
        <f t="shared" si="13"/>
        <v>14775</v>
      </c>
      <c r="K29" s="2">
        <f t="shared" si="13"/>
        <v>33534</v>
      </c>
      <c r="L29" s="2">
        <f t="shared" si="13"/>
        <v>27503</v>
      </c>
      <c r="M29" s="2">
        <f t="shared" si="13"/>
        <v>24126</v>
      </c>
      <c r="N29" s="2">
        <f t="shared" si="13"/>
        <v>23786</v>
      </c>
      <c r="O29" s="2">
        <f t="shared" si="13"/>
        <v>41488</v>
      </c>
      <c r="P29" s="2">
        <f t="shared" si="13"/>
        <v>29979</v>
      </c>
      <c r="Q29" s="2">
        <f t="shared" si="13"/>
        <v>23076</v>
      </c>
      <c r="R29" s="2">
        <f t="shared" si="13"/>
        <v>24894</v>
      </c>
      <c r="S29" s="2">
        <f t="shared" si="13"/>
        <v>36016</v>
      </c>
      <c r="T29" s="2">
        <f t="shared" si="13"/>
        <v>28318</v>
      </c>
      <c r="U29" s="2">
        <f t="shared" si="13"/>
        <v>22998</v>
      </c>
      <c r="V29" s="2">
        <f t="shared" si="13"/>
        <v>26969</v>
      </c>
      <c r="W29" s="2">
        <f t="shared" si="13"/>
        <v>40373</v>
      </c>
      <c r="X29" s="2">
        <f t="shared" si="13"/>
        <v>27900</v>
      </c>
      <c r="Y29" s="2">
        <f t="shared" si="13"/>
        <v>25352</v>
      </c>
      <c r="Z29" s="2">
        <f t="shared" si="13"/>
        <v>29591</v>
      </c>
      <c r="AA29" s="2">
        <f t="shared" si="13"/>
        <v>49644.940902000002</v>
      </c>
      <c r="AB29" s="2">
        <f t="shared" si="13"/>
        <v>35374.199229000005</v>
      </c>
      <c r="AC29" s="2">
        <f t="shared" si="13"/>
        <v>32846.066763999988</v>
      </c>
      <c r="AD29" s="2">
        <f t="shared" si="13"/>
        <v>37011.528961999997</v>
      </c>
      <c r="AG29" s="6">
        <f t="shared" ref="AG29:AZ29" si="14">+AG25-AG28</f>
        <v>18385</v>
      </c>
      <c r="AH29" s="6">
        <f t="shared" si="14"/>
        <v>33790</v>
      </c>
      <c r="AI29" s="6">
        <f t="shared" si="14"/>
        <v>55241</v>
      </c>
      <c r="AJ29" s="6">
        <f t="shared" si="14"/>
        <v>48999</v>
      </c>
      <c r="AK29" s="6">
        <f t="shared" si="14"/>
        <v>52503</v>
      </c>
      <c r="AL29" s="6">
        <f t="shared" si="14"/>
        <v>71230</v>
      </c>
      <c r="AM29" s="6">
        <f t="shared" si="14"/>
        <v>60024</v>
      </c>
      <c r="AN29" s="6">
        <f t="shared" si="14"/>
        <v>61344</v>
      </c>
      <c r="AO29" s="6">
        <f t="shared" si="14"/>
        <v>70898</v>
      </c>
      <c r="AP29" s="6">
        <f t="shared" si="14"/>
        <v>63930</v>
      </c>
      <c r="AQ29" s="6">
        <f t="shared" si="14"/>
        <v>66288</v>
      </c>
      <c r="AR29" s="6">
        <f t="shared" si="14"/>
        <v>108949</v>
      </c>
      <c r="AS29" s="6">
        <f t="shared" si="14"/>
        <v>119437</v>
      </c>
      <c r="AT29" s="6">
        <f t="shared" si="14"/>
        <v>114301</v>
      </c>
      <c r="AU29" s="6">
        <f t="shared" si="14"/>
        <v>123216</v>
      </c>
      <c r="AV29" s="6">
        <f t="shared" si="14"/>
        <v>154876.73585699999</v>
      </c>
      <c r="AW29" s="6">
        <f t="shared" si="14"/>
        <v>157807.96172245988</v>
      </c>
      <c r="AX29" s="6">
        <f t="shared" si="14"/>
        <v>161022.08254407908</v>
      </c>
      <c r="AY29" s="6">
        <f t="shared" si="14"/>
        <v>163233.61344310117</v>
      </c>
      <c r="AZ29" s="6">
        <f t="shared" si="14"/>
        <v>165593.54546679516</v>
      </c>
      <c r="BA29" s="2"/>
    </row>
    <row r="30" spans="2:53" x14ac:dyDescent="0.25">
      <c r="B30" t="s">
        <v>18</v>
      </c>
      <c r="G30" s="2">
        <v>349</v>
      </c>
      <c r="H30" s="2">
        <v>282</v>
      </c>
      <c r="I30" s="2">
        <v>46</v>
      </c>
      <c r="J30" s="2">
        <v>126</v>
      </c>
      <c r="K30" s="2">
        <v>45</v>
      </c>
      <c r="L30" s="2">
        <v>508</v>
      </c>
      <c r="M30" s="2">
        <v>243</v>
      </c>
      <c r="N30" s="2">
        <v>-538</v>
      </c>
      <c r="O30" s="2">
        <v>-247</v>
      </c>
      <c r="P30" s="2">
        <v>160</v>
      </c>
      <c r="Q30" s="2">
        <v>-10</v>
      </c>
      <c r="R30" s="2">
        <v>-237</v>
      </c>
      <c r="S30" s="2">
        <v>-393</v>
      </c>
      <c r="T30" s="2">
        <v>64</v>
      </c>
      <c r="U30" s="2">
        <v>-265</v>
      </c>
      <c r="V30" s="2">
        <f>+AT30-S30-T30-U30</f>
        <v>29</v>
      </c>
      <c r="W30" s="2">
        <v>-50</v>
      </c>
      <c r="X30" s="2">
        <v>158</v>
      </c>
      <c r="Y30" s="2">
        <v>142</v>
      </c>
      <c r="Z30" s="2">
        <f>+AU30-W30-X30-Y30</f>
        <v>19</v>
      </c>
      <c r="AA30" s="2">
        <v>-50</v>
      </c>
      <c r="AB30" s="2">
        <v>158</v>
      </c>
      <c r="AC30" s="2">
        <v>142</v>
      </c>
      <c r="AD30" s="2">
        <v>19</v>
      </c>
      <c r="AG30" s="2">
        <v>155</v>
      </c>
      <c r="AH30" s="2">
        <v>415</v>
      </c>
      <c r="AI30" s="2">
        <v>522</v>
      </c>
      <c r="AJ30" s="2">
        <v>1156</v>
      </c>
      <c r="AK30" s="2">
        <v>980</v>
      </c>
      <c r="AL30" s="2">
        <v>1285</v>
      </c>
      <c r="AM30" s="2">
        <v>1348</v>
      </c>
      <c r="AN30" s="2">
        <v>2745</v>
      </c>
      <c r="AO30" s="2">
        <v>2005</v>
      </c>
      <c r="AP30" s="2">
        <v>1807</v>
      </c>
      <c r="AQ30" s="2">
        <v>803</v>
      </c>
      <c r="AR30" s="2">
        <v>258</v>
      </c>
      <c r="AS30" s="2">
        <v>-334</v>
      </c>
      <c r="AT30" s="2">
        <v>-565</v>
      </c>
      <c r="AU30" s="2">
        <v>269</v>
      </c>
      <c r="AV30" s="2">
        <f>SUM(AA30:AD30)</f>
        <v>269</v>
      </c>
      <c r="AW30" s="2">
        <v>269</v>
      </c>
      <c r="AX30" s="2">
        <v>269</v>
      </c>
      <c r="AY30" s="2">
        <v>269</v>
      </c>
      <c r="AZ30" s="2">
        <v>269</v>
      </c>
      <c r="BA30" s="2"/>
    </row>
    <row r="31" spans="2:53" x14ac:dyDescent="0.25">
      <c r="B31" t="s">
        <v>19</v>
      </c>
      <c r="C31" s="2">
        <f t="shared" ref="C31:AD31" si="15">+C29+C30</f>
        <v>32031</v>
      </c>
      <c r="D31" s="2">
        <f t="shared" si="15"/>
        <v>21821</v>
      </c>
      <c r="E31" s="2">
        <f t="shared" si="15"/>
        <v>20227</v>
      </c>
      <c r="F31" s="2">
        <f t="shared" si="15"/>
        <v>23313</v>
      </c>
      <c r="G31" s="2">
        <f t="shared" si="15"/>
        <v>25918</v>
      </c>
      <c r="H31" s="2">
        <f t="shared" si="15"/>
        <v>13135</v>
      </c>
      <c r="I31" s="2">
        <f t="shared" si="15"/>
        <v>13137</v>
      </c>
      <c r="J31" s="2">
        <f t="shared" si="15"/>
        <v>14901</v>
      </c>
      <c r="K31" s="2">
        <f t="shared" si="15"/>
        <v>33579</v>
      </c>
      <c r="L31" s="2">
        <f t="shared" si="15"/>
        <v>28011</v>
      </c>
      <c r="M31" s="2">
        <f t="shared" si="15"/>
        <v>24369</v>
      </c>
      <c r="N31" s="2">
        <f t="shared" si="15"/>
        <v>23248</v>
      </c>
      <c r="O31" s="2">
        <f t="shared" si="15"/>
        <v>41241</v>
      </c>
      <c r="P31" s="2">
        <f t="shared" si="15"/>
        <v>30139</v>
      </c>
      <c r="Q31" s="2">
        <f t="shared" si="15"/>
        <v>23066</v>
      </c>
      <c r="R31" s="2">
        <f t="shared" si="15"/>
        <v>24657</v>
      </c>
      <c r="S31" s="2">
        <f t="shared" si="15"/>
        <v>35623</v>
      </c>
      <c r="T31" s="2">
        <f t="shared" si="15"/>
        <v>28382</v>
      </c>
      <c r="U31" s="2">
        <f t="shared" si="15"/>
        <v>22733</v>
      </c>
      <c r="V31" s="2">
        <f t="shared" si="15"/>
        <v>26998</v>
      </c>
      <c r="W31" s="2">
        <f t="shared" si="15"/>
        <v>40323</v>
      </c>
      <c r="X31" s="2">
        <f t="shared" si="15"/>
        <v>28058</v>
      </c>
      <c r="Y31" s="2">
        <f t="shared" si="15"/>
        <v>25494</v>
      </c>
      <c r="Z31" s="2">
        <f t="shared" si="15"/>
        <v>29610</v>
      </c>
      <c r="AA31" s="2">
        <f t="shared" si="15"/>
        <v>49594.940902000002</v>
      </c>
      <c r="AB31" s="2">
        <f t="shared" si="15"/>
        <v>35532.199229000005</v>
      </c>
      <c r="AC31" s="2">
        <f t="shared" si="15"/>
        <v>32988.066763999988</v>
      </c>
      <c r="AD31" s="2">
        <f t="shared" si="15"/>
        <v>37030.528961999997</v>
      </c>
      <c r="AG31" s="2">
        <f t="shared" ref="AG31:AZ31" si="16">+AG29+AG30</f>
        <v>18540</v>
      </c>
      <c r="AH31" s="2">
        <f t="shared" si="16"/>
        <v>34205</v>
      </c>
      <c r="AI31" s="2">
        <f t="shared" si="16"/>
        <v>55763</v>
      </c>
      <c r="AJ31" s="2">
        <f t="shared" si="16"/>
        <v>50155</v>
      </c>
      <c r="AK31" s="2">
        <f t="shared" si="16"/>
        <v>53483</v>
      </c>
      <c r="AL31" s="2">
        <f t="shared" si="16"/>
        <v>72515</v>
      </c>
      <c r="AM31" s="2">
        <f t="shared" si="16"/>
        <v>61372</v>
      </c>
      <c r="AN31" s="2">
        <f t="shared" si="16"/>
        <v>64089</v>
      </c>
      <c r="AO31" s="2">
        <f t="shared" si="16"/>
        <v>72903</v>
      </c>
      <c r="AP31" s="2">
        <f t="shared" si="16"/>
        <v>65737</v>
      </c>
      <c r="AQ31" s="2">
        <f t="shared" si="16"/>
        <v>67091</v>
      </c>
      <c r="AR31" s="2">
        <f t="shared" si="16"/>
        <v>109207</v>
      </c>
      <c r="AS31" s="2">
        <f t="shared" si="16"/>
        <v>119103</v>
      </c>
      <c r="AT31" s="2">
        <f t="shared" si="16"/>
        <v>113736</v>
      </c>
      <c r="AU31" s="2">
        <f t="shared" si="16"/>
        <v>123485</v>
      </c>
      <c r="AV31" s="2">
        <f t="shared" si="16"/>
        <v>155145.73585699999</v>
      </c>
      <c r="AW31" s="2">
        <f t="shared" si="16"/>
        <v>158076.96172245988</v>
      </c>
      <c r="AX31" s="2">
        <f t="shared" si="16"/>
        <v>161291.08254407908</v>
      </c>
      <c r="AY31" s="2">
        <f t="shared" si="16"/>
        <v>163502.61344310117</v>
      </c>
      <c r="AZ31" s="2">
        <f t="shared" si="16"/>
        <v>165862.54546679516</v>
      </c>
      <c r="BA31" s="2"/>
    </row>
    <row r="32" spans="2:53" x14ac:dyDescent="0.25">
      <c r="B32" t="s">
        <v>20</v>
      </c>
      <c r="G32" s="2">
        <v>3682</v>
      </c>
      <c r="H32" s="2">
        <v>1886</v>
      </c>
      <c r="I32" s="2">
        <v>1884</v>
      </c>
      <c r="J32" s="2">
        <v>2228</v>
      </c>
      <c r="K32" s="2">
        <v>4824</v>
      </c>
      <c r="L32" s="2">
        <v>4381</v>
      </c>
      <c r="M32" s="2">
        <v>2625</v>
      </c>
      <c r="N32" s="2">
        <v>2697</v>
      </c>
      <c r="O32" s="2">
        <v>6611</v>
      </c>
      <c r="P32" s="2">
        <v>5129</v>
      </c>
      <c r="Q32" s="2">
        <v>3624</v>
      </c>
      <c r="R32" s="2">
        <v>3936</v>
      </c>
      <c r="S32" s="2">
        <v>5625</v>
      </c>
      <c r="T32" s="2">
        <v>4222</v>
      </c>
      <c r="U32" s="2">
        <v>2852</v>
      </c>
      <c r="V32" s="2">
        <f>+AT32-S32-T32-U32</f>
        <v>4042</v>
      </c>
      <c r="W32" s="2">
        <v>6407</v>
      </c>
      <c r="X32" s="2">
        <v>4422</v>
      </c>
      <c r="Y32" s="2">
        <v>4046</v>
      </c>
      <c r="Z32" s="2">
        <f>+AU32-W32-X32-Y32</f>
        <v>14874</v>
      </c>
      <c r="AA32" s="2">
        <f>AA31*Asumptions!AA15</f>
        <v>11952.380757382</v>
      </c>
      <c r="AB32" s="2">
        <f>AB31*Asumptions!AB15</f>
        <v>8563.2600141890016</v>
      </c>
      <c r="AC32" s="2">
        <f>AC31*Asumptions!AC15</f>
        <v>7950.1240901239971</v>
      </c>
      <c r="AD32" s="2">
        <f>AD31*Asumptions!AD15</f>
        <v>8924.3574798419995</v>
      </c>
      <c r="AG32" s="2">
        <v>4527</v>
      </c>
      <c r="AH32" s="2">
        <v>8283</v>
      </c>
      <c r="AI32" s="2">
        <v>14030</v>
      </c>
      <c r="AJ32" s="2">
        <v>13118</v>
      </c>
      <c r="AK32" s="2">
        <v>13973</v>
      </c>
      <c r="AL32" s="2">
        <v>19121</v>
      </c>
      <c r="AM32" s="2">
        <v>15685</v>
      </c>
      <c r="AN32" s="2">
        <v>15738</v>
      </c>
      <c r="AO32" s="2">
        <v>13372</v>
      </c>
      <c r="AP32" s="2">
        <v>10481</v>
      </c>
      <c r="AQ32" s="2">
        <v>9680</v>
      </c>
      <c r="AR32" s="2">
        <v>14527</v>
      </c>
      <c r="AS32" s="2">
        <v>19300</v>
      </c>
      <c r="AT32" s="2">
        <v>16741</v>
      </c>
      <c r="AU32" s="2">
        <v>29749</v>
      </c>
      <c r="AV32" s="2">
        <f>SUM(AA32:AD32)</f>
        <v>37390.122341536997</v>
      </c>
      <c r="AW32" s="2">
        <f>AW31*Asumptions!AW15</f>
        <v>38082.613550483533</v>
      </c>
      <c r="AX32" s="2">
        <f>AX31*Asumptions!AX15</f>
        <v>38856.933349020597</v>
      </c>
      <c r="AY32" s="2">
        <f>AY31*Asumptions!AY15</f>
        <v>39389.717352867287</v>
      </c>
      <c r="AZ32" s="2">
        <f>AZ31*Asumptions!AZ15</f>
        <v>39958.252946444416</v>
      </c>
      <c r="BA32" s="2"/>
    </row>
    <row r="33" spans="2:53" x14ac:dyDescent="0.25">
      <c r="B33" t="s">
        <v>21</v>
      </c>
      <c r="C33" s="2">
        <f t="shared" ref="C33:AD33" si="17">+C31-C32</f>
        <v>32031</v>
      </c>
      <c r="D33" s="2">
        <f t="shared" si="17"/>
        <v>21821</v>
      </c>
      <c r="E33" s="2">
        <f t="shared" si="17"/>
        <v>20227</v>
      </c>
      <c r="F33" s="2">
        <f t="shared" si="17"/>
        <v>23313</v>
      </c>
      <c r="G33" s="2">
        <f t="shared" si="17"/>
        <v>22236</v>
      </c>
      <c r="H33" s="2">
        <f t="shared" si="17"/>
        <v>11249</v>
      </c>
      <c r="I33" s="2">
        <f t="shared" si="17"/>
        <v>11253</v>
      </c>
      <c r="J33" s="2">
        <f t="shared" si="17"/>
        <v>12673</v>
      </c>
      <c r="K33" s="2">
        <f t="shared" si="17"/>
        <v>28755</v>
      </c>
      <c r="L33" s="2">
        <f t="shared" si="17"/>
        <v>23630</v>
      </c>
      <c r="M33" s="2">
        <f t="shared" si="17"/>
        <v>21744</v>
      </c>
      <c r="N33" s="2">
        <f t="shared" si="17"/>
        <v>20551</v>
      </c>
      <c r="O33" s="2">
        <f t="shared" si="17"/>
        <v>34630</v>
      </c>
      <c r="P33" s="2">
        <f t="shared" si="17"/>
        <v>25010</v>
      </c>
      <c r="Q33" s="2">
        <f t="shared" si="17"/>
        <v>19442</v>
      </c>
      <c r="R33" s="2">
        <f t="shared" si="17"/>
        <v>20721</v>
      </c>
      <c r="S33" s="2">
        <f t="shared" si="17"/>
        <v>29998</v>
      </c>
      <c r="T33" s="2">
        <f t="shared" si="17"/>
        <v>24160</v>
      </c>
      <c r="U33" s="2">
        <f t="shared" si="17"/>
        <v>19881</v>
      </c>
      <c r="V33" s="2">
        <f t="shared" si="17"/>
        <v>22956</v>
      </c>
      <c r="W33" s="2">
        <f t="shared" si="17"/>
        <v>33916</v>
      </c>
      <c r="X33" s="2">
        <f t="shared" si="17"/>
        <v>23636</v>
      </c>
      <c r="Y33" s="2">
        <f t="shared" si="17"/>
        <v>21448</v>
      </c>
      <c r="Z33" s="2">
        <f t="shared" si="17"/>
        <v>14736</v>
      </c>
      <c r="AA33" s="2">
        <f t="shared" si="17"/>
        <v>37642.560144618001</v>
      </c>
      <c r="AB33" s="2">
        <f t="shared" si="17"/>
        <v>26968.939214811006</v>
      </c>
      <c r="AC33" s="2">
        <f t="shared" si="17"/>
        <v>25037.94267387599</v>
      </c>
      <c r="AD33" s="2">
        <f t="shared" si="17"/>
        <v>28106.171482157995</v>
      </c>
      <c r="AG33" s="2">
        <f t="shared" ref="AG33:AZ33" si="18">+AG31-AG32</f>
        <v>14013</v>
      </c>
      <c r="AH33" s="2">
        <f t="shared" si="18"/>
        <v>25922</v>
      </c>
      <c r="AI33" s="2">
        <f t="shared" si="18"/>
        <v>41733</v>
      </c>
      <c r="AJ33" s="2">
        <f t="shared" si="18"/>
        <v>37037</v>
      </c>
      <c r="AK33" s="2">
        <f t="shared" si="18"/>
        <v>39510</v>
      </c>
      <c r="AL33" s="2">
        <f t="shared" si="18"/>
        <v>53394</v>
      </c>
      <c r="AM33" s="2">
        <f t="shared" si="18"/>
        <v>45687</v>
      </c>
      <c r="AN33" s="2">
        <f t="shared" si="18"/>
        <v>48351</v>
      </c>
      <c r="AO33" s="2">
        <f t="shared" si="18"/>
        <v>59531</v>
      </c>
      <c r="AP33" s="2">
        <f t="shared" si="18"/>
        <v>55256</v>
      </c>
      <c r="AQ33" s="2">
        <f t="shared" si="18"/>
        <v>57411</v>
      </c>
      <c r="AR33" s="2">
        <f t="shared" si="18"/>
        <v>94680</v>
      </c>
      <c r="AS33" s="2">
        <f t="shared" si="18"/>
        <v>99803</v>
      </c>
      <c r="AT33" s="2">
        <f t="shared" si="18"/>
        <v>96995</v>
      </c>
      <c r="AU33" s="2">
        <f t="shared" si="18"/>
        <v>93736</v>
      </c>
      <c r="AV33" s="2">
        <f t="shared" si="18"/>
        <v>117755.61351546299</v>
      </c>
      <c r="AW33" s="2">
        <f t="shared" si="18"/>
        <v>119994.34817197634</v>
      </c>
      <c r="AX33" s="2">
        <f t="shared" si="18"/>
        <v>122434.14919505848</v>
      </c>
      <c r="AY33" s="2">
        <f t="shared" si="18"/>
        <v>124112.89609023389</v>
      </c>
      <c r="AZ33" s="2">
        <f t="shared" si="18"/>
        <v>125904.29252035075</v>
      </c>
      <c r="BA33" s="2"/>
    </row>
    <row r="34" spans="2:53" s="11" customFormat="1" x14ac:dyDescent="0.25">
      <c r="B34" s="11" t="s">
        <v>22</v>
      </c>
      <c r="E34" s="11" t="e">
        <f t="shared" ref="E34:AD34" si="19">+E33/E35</f>
        <v>#DIV/0!</v>
      </c>
      <c r="F34" s="11" t="e">
        <f t="shared" si="19"/>
        <v>#DIV/0!</v>
      </c>
      <c r="G34" s="11">
        <f t="shared" si="19"/>
        <v>1.2479223042091785</v>
      </c>
      <c r="H34" s="11">
        <f t="shared" si="19"/>
        <v>0.63846699811252383</v>
      </c>
      <c r="I34" s="11">
        <f t="shared" si="19"/>
        <v>0.64601300384622584</v>
      </c>
      <c r="J34" s="11">
        <f t="shared" si="19"/>
        <v>0.73438904632051849</v>
      </c>
      <c r="K34" s="11">
        <f t="shared" si="19"/>
        <v>1.6802339741147556</v>
      </c>
      <c r="L34" s="11">
        <f t="shared" si="19"/>
        <v>1.3958166966021994</v>
      </c>
      <c r="M34" s="11">
        <f t="shared" si="19"/>
        <v>1.2956943963183782</v>
      </c>
      <c r="N34" s="11">
        <f t="shared" si="19"/>
        <v>1.2354000701047909</v>
      </c>
      <c r="O34" s="11">
        <f t="shared" si="19"/>
        <v>2.0963369432743812</v>
      </c>
      <c r="P34" s="11">
        <f t="shared" si="19"/>
        <v>1.5246917147727936</v>
      </c>
      <c r="Q34" s="11">
        <f t="shared" si="19"/>
        <v>1.1955329791418789</v>
      </c>
      <c r="R34" s="11">
        <f t="shared" si="19"/>
        <v>1.2855442500262897</v>
      </c>
      <c r="S34" s="11">
        <f t="shared" si="19"/>
        <v>1.8800783518485347</v>
      </c>
      <c r="T34" s="11">
        <f t="shared" si="19"/>
        <v>1.5245739743359175</v>
      </c>
      <c r="U34" s="11">
        <f t="shared" si="19"/>
        <v>1.2602835837746269</v>
      </c>
      <c r="V34" s="11">
        <f t="shared" si="19"/>
        <v>1.4518087528459398</v>
      </c>
      <c r="W34" s="11">
        <f t="shared" si="19"/>
        <v>2.1773628858750742</v>
      </c>
      <c r="X34" s="11">
        <f t="shared" si="19"/>
        <v>1.5283831076291186</v>
      </c>
      <c r="Y34" s="11">
        <f t="shared" si="19"/>
        <v>1.3974299876043894</v>
      </c>
      <c r="Z34" s="11">
        <f t="shared" si="19"/>
        <v>0.95638629283489096</v>
      </c>
      <c r="AA34" s="11">
        <f t="shared" si="19"/>
        <v>2.4430529688874612</v>
      </c>
      <c r="AB34" s="11">
        <f t="shared" si="19"/>
        <v>1.7503205617089177</v>
      </c>
      <c r="AC34" s="11">
        <f t="shared" si="19"/>
        <v>1.6249962794571644</v>
      </c>
      <c r="AD34" s="11">
        <f t="shared" si="19"/>
        <v>1.824128471064252</v>
      </c>
      <c r="AG34" s="11">
        <f t="shared" ref="AG34:AZ34" si="20">+AG33/AG35</f>
        <v>15.15390737872981</v>
      </c>
      <c r="AH34" s="11">
        <f t="shared" si="20"/>
        <v>27.675373273759003</v>
      </c>
      <c r="AI34" s="11">
        <f t="shared" si="20"/>
        <v>6.3064763445557777</v>
      </c>
      <c r="AJ34" s="11">
        <f t="shared" si="20"/>
        <v>5.6790982137298718</v>
      </c>
      <c r="AK34" s="11">
        <f t="shared" si="20"/>
        <v>6.4530744220284548</v>
      </c>
      <c r="AL34" s="11">
        <f t="shared" si="20"/>
        <v>9.216876236067618</v>
      </c>
      <c r="AM34" s="11">
        <f t="shared" si="20"/>
        <v>8.3063028961611227</v>
      </c>
      <c r="AN34" s="11">
        <f t="shared" si="20"/>
        <v>9.2067470826545037</v>
      </c>
      <c r="AO34" s="11">
        <f t="shared" si="20"/>
        <v>2.97655</v>
      </c>
      <c r="AP34" s="11">
        <f t="shared" si="20"/>
        <v>2.9713916971391696</v>
      </c>
      <c r="AQ34" s="11">
        <f t="shared" si="20"/>
        <v>3.2753879507074397</v>
      </c>
      <c r="AR34" s="11">
        <f t="shared" si="20"/>
        <v>5.6139934776163649</v>
      </c>
      <c r="AS34" s="11">
        <f t="shared" si="20"/>
        <v>6.1131324268038707</v>
      </c>
      <c r="AT34" s="11">
        <f t="shared" si="20"/>
        <v>6.1342651151024539</v>
      </c>
      <c r="AU34" s="11">
        <f t="shared" si="20"/>
        <v>6.0835929387331253</v>
      </c>
      <c r="AV34" s="11">
        <f t="shared" si="20"/>
        <v>7.6424982811177955</v>
      </c>
      <c r="AW34" s="11">
        <f t="shared" si="20"/>
        <v>7.7877951825010605</v>
      </c>
      <c r="AX34" s="11">
        <f t="shared" si="20"/>
        <v>7.9461415625037954</v>
      </c>
      <c r="AY34" s="11">
        <f t="shared" si="20"/>
        <v>8.0550945022218254</v>
      </c>
      <c r="AZ34" s="11">
        <f t="shared" si="20"/>
        <v>8.1713585488285787</v>
      </c>
      <c r="BA34" s="15"/>
    </row>
    <row r="35" spans="2:53" x14ac:dyDescent="0.25">
      <c r="B35" t="s">
        <v>23</v>
      </c>
      <c r="G35" s="2">
        <v>17818.417000000001</v>
      </c>
      <c r="H35" s="2">
        <v>17618.764999999999</v>
      </c>
      <c r="I35" s="2">
        <v>17419.153999999999</v>
      </c>
      <c r="J35" s="2">
        <v>17256.521000000001</v>
      </c>
      <c r="K35" s="2">
        <v>17113.687999999998</v>
      </c>
      <c r="L35" s="2">
        <v>16929.156999999999</v>
      </c>
      <c r="M35" s="2">
        <v>16781.735000000001</v>
      </c>
      <c r="N35" s="2">
        <v>16635.097000000002</v>
      </c>
      <c r="O35" s="2">
        <v>16519.291000000001</v>
      </c>
      <c r="P35" s="2">
        <v>16403.315999999999</v>
      </c>
      <c r="Q35" s="2">
        <v>16262.203</v>
      </c>
      <c r="R35" s="2">
        <v>16118.465</v>
      </c>
      <c r="S35" s="2">
        <v>15955.718000000001</v>
      </c>
      <c r="T35" s="2">
        <v>15847.05</v>
      </c>
      <c r="U35" s="2">
        <v>15775.021000000001</v>
      </c>
      <c r="V35" s="2">
        <v>15812</v>
      </c>
      <c r="W35" s="2">
        <v>15576.641</v>
      </c>
      <c r="X35" s="2">
        <v>15464.709000000001</v>
      </c>
      <c r="Y35" s="2">
        <v>15348.174999999999</v>
      </c>
      <c r="Z35" s="2">
        <v>15408</v>
      </c>
      <c r="AA35" s="2">
        <v>15408</v>
      </c>
      <c r="AB35" s="2">
        <v>15408</v>
      </c>
      <c r="AC35" s="2">
        <v>15408</v>
      </c>
      <c r="AD35" s="2">
        <v>15408</v>
      </c>
      <c r="AG35" s="2">
        <v>924.71199999999999</v>
      </c>
      <c r="AH35" s="2">
        <v>936.64499999999998</v>
      </c>
      <c r="AI35" s="2">
        <v>6617.4830000000002</v>
      </c>
      <c r="AJ35" s="2">
        <v>6521.634</v>
      </c>
      <c r="AK35" s="2">
        <v>6122.6629999999996</v>
      </c>
      <c r="AL35" s="2">
        <v>5793.0690000000004</v>
      </c>
      <c r="AM35" s="2">
        <v>5500.2809999999999</v>
      </c>
      <c r="AN35" s="2">
        <v>5251.692</v>
      </c>
      <c r="AO35" s="2">
        <v>20000</v>
      </c>
      <c r="AP35" s="2">
        <v>18596</v>
      </c>
      <c r="AQ35" s="2">
        <v>17528</v>
      </c>
      <c r="AR35" s="2">
        <v>16865</v>
      </c>
      <c r="AS35" s="2">
        <v>16326</v>
      </c>
      <c r="AT35" s="2">
        <v>15812</v>
      </c>
      <c r="AU35" s="2">
        <v>15408</v>
      </c>
      <c r="AV35" s="2">
        <v>15408</v>
      </c>
      <c r="AW35" s="2">
        <v>15408</v>
      </c>
      <c r="AX35" s="2">
        <v>15408</v>
      </c>
      <c r="AY35" s="2">
        <v>15408</v>
      </c>
      <c r="AZ35" s="2">
        <v>15408</v>
      </c>
      <c r="BA35" s="2"/>
    </row>
    <row r="36" spans="2:53" x14ac:dyDescent="0.25">
      <c r="AA36" s="2"/>
      <c r="AB36" s="2"/>
      <c r="AC36" s="2"/>
      <c r="AD36" s="2"/>
      <c r="AV36" s="27"/>
      <c r="AW36" s="27"/>
      <c r="AX36" s="27"/>
      <c r="AY36" s="27"/>
      <c r="AZ36" s="27"/>
      <c r="BA36" s="2"/>
    </row>
    <row r="37" spans="2:53" ht="13.5" customHeight="1" x14ac:dyDescent="0.25">
      <c r="AA37" s="2"/>
      <c r="AB37" s="2"/>
      <c r="AC37" s="2"/>
      <c r="AD37" s="2"/>
      <c r="AV37" s="2"/>
      <c r="AW37" s="2"/>
      <c r="AX37" s="2"/>
      <c r="AY37" s="2"/>
      <c r="AZ37" s="2"/>
      <c r="BA37" s="2"/>
    </row>
    <row r="38" spans="2:53" x14ac:dyDescent="0.25">
      <c r="B38" t="s">
        <v>32</v>
      </c>
      <c r="S38" s="2">
        <f t="shared" ref="S38:Z38" si="21">S39-S51</f>
        <v>54340</v>
      </c>
      <c r="T38" s="2">
        <f t="shared" si="21"/>
        <v>56718</v>
      </c>
      <c r="U38" s="2">
        <f t="shared" si="21"/>
        <v>57263</v>
      </c>
      <c r="V38" s="2">
        <f t="shared" si="21"/>
        <v>51011</v>
      </c>
      <c r="W38" s="2">
        <f t="shared" si="21"/>
        <v>64535</v>
      </c>
      <c r="X38" s="2">
        <f t="shared" si="21"/>
        <v>57747</v>
      </c>
      <c r="Y38" s="2">
        <f t="shared" si="21"/>
        <v>48967</v>
      </c>
      <c r="Z38" s="2">
        <f t="shared" si="21"/>
        <v>50021</v>
      </c>
      <c r="AA38" s="2"/>
      <c r="AB38" s="2"/>
      <c r="AC38" s="2"/>
      <c r="AD38" s="2"/>
      <c r="AO38" s="2">
        <f>AO39-AO51</f>
        <v>122617</v>
      </c>
      <c r="AP38" s="2">
        <f t="shared" ref="AP38:AU38" si="22">AP39-AP51</f>
        <v>97851</v>
      </c>
      <c r="AQ38" s="2">
        <f t="shared" si="22"/>
        <v>79394</v>
      </c>
      <c r="AR38" s="2">
        <f t="shared" si="22"/>
        <v>65797</v>
      </c>
      <c r="AS38" s="2">
        <f t="shared" si="22"/>
        <v>49040</v>
      </c>
      <c r="AT38" s="2">
        <f t="shared" si="22"/>
        <v>51011</v>
      </c>
      <c r="AU38" s="2">
        <f t="shared" si="22"/>
        <v>50021</v>
      </c>
      <c r="AV38" s="2">
        <f>AV39-AV51</f>
        <v>62130</v>
      </c>
      <c r="AW38" s="2">
        <f t="shared" ref="AW38" si="23">AW39-AW51</f>
        <v>80124.87014866306</v>
      </c>
      <c r="AX38" s="2">
        <f t="shared" ref="AX38" si="24">AX39-AX51</f>
        <v>100434</v>
      </c>
      <c r="AY38" s="2">
        <f t="shared" ref="AY38" si="25">AY39-AY51</f>
        <v>122088</v>
      </c>
      <c r="AZ38" s="2">
        <f t="shared" ref="AZ38" si="26">AZ39-AZ51</f>
        <v>145559</v>
      </c>
      <c r="BA38" s="2"/>
    </row>
    <row r="39" spans="2:53" x14ac:dyDescent="0.25">
      <c r="B39" t="s">
        <v>33</v>
      </c>
      <c r="S39" s="2">
        <f>20535+30820+114095</f>
        <v>165450</v>
      </c>
      <c r="T39" s="2">
        <f>24687+31185+110461</f>
        <v>166333</v>
      </c>
      <c r="U39">
        <f>28408+34074+104061</f>
        <v>166543</v>
      </c>
      <c r="V39" s="2">
        <f>AT39</f>
        <v>162099</v>
      </c>
      <c r="W39">
        <f>40760+32340+99475</f>
        <v>172575</v>
      </c>
      <c r="X39">
        <f>32695+34455+95187</f>
        <v>162337</v>
      </c>
      <c r="Y39">
        <f>36236+22795+91240</f>
        <v>150271</v>
      </c>
      <c r="Z39" s="2">
        <f>AU39</f>
        <v>156650</v>
      </c>
      <c r="AA39" s="2"/>
      <c r="AB39" s="2"/>
      <c r="AC39" s="2"/>
      <c r="AD39" s="2"/>
      <c r="AO39" s="2">
        <f>25913+40388+170799</f>
        <v>237100</v>
      </c>
      <c r="AP39" s="2">
        <f>48844+51713+105341</f>
        <v>205898</v>
      </c>
      <c r="AQ39" s="2">
        <f>38016+52927+100887</f>
        <v>191830</v>
      </c>
      <c r="AR39" s="2">
        <f>34940+27699+127877</f>
        <v>190516</v>
      </c>
      <c r="AS39" s="2">
        <f>23646+24658+120805</f>
        <v>169109</v>
      </c>
      <c r="AT39" s="2">
        <f>29965+31590+100544</f>
        <v>162099</v>
      </c>
      <c r="AU39" s="2">
        <f>29943+35228+91479</f>
        <v>156650</v>
      </c>
      <c r="AV39" s="2">
        <f>374113-205354</f>
        <v>168759</v>
      </c>
      <c r="AW39" s="2">
        <f>AW60-209501</f>
        <v>186753.87014866306</v>
      </c>
      <c r="AX39" s="2">
        <f>420808-213745</f>
        <v>207063</v>
      </c>
      <c r="AY39" s="2">
        <f>446118-217401</f>
        <v>228717</v>
      </c>
      <c r="AZ39" s="2">
        <f>473322-221134</f>
        <v>252188</v>
      </c>
      <c r="BA39" s="2"/>
    </row>
    <row r="40" spans="2:53" x14ac:dyDescent="0.25">
      <c r="B40" t="s">
        <v>34</v>
      </c>
      <c r="S40" s="2">
        <v>23752</v>
      </c>
      <c r="T40" s="2">
        <v>17936</v>
      </c>
      <c r="U40" s="2">
        <v>19549</v>
      </c>
      <c r="V40" s="2">
        <f t="shared" ref="V40:V45" si="27">AT40</f>
        <v>29508</v>
      </c>
      <c r="W40" s="2">
        <v>23194</v>
      </c>
      <c r="X40" s="2">
        <v>21837</v>
      </c>
      <c r="Y40" s="2">
        <v>22795</v>
      </c>
      <c r="Z40" s="2">
        <f t="shared" ref="Z40:Z45" si="28">AU40</f>
        <v>33410</v>
      </c>
      <c r="AA40" s="2"/>
      <c r="AB40" s="2"/>
      <c r="AC40" s="2"/>
      <c r="AD40" s="2"/>
      <c r="AO40" s="2">
        <v>23186</v>
      </c>
      <c r="AP40" s="2">
        <v>22926</v>
      </c>
      <c r="AQ40" s="2">
        <v>16120</v>
      </c>
      <c r="AR40" s="2">
        <v>26278</v>
      </c>
      <c r="AS40" s="2">
        <v>28184</v>
      </c>
      <c r="AT40" s="2">
        <v>29508</v>
      </c>
      <c r="AU40" s="2">
        <v>33410</v>
      </c>
      <c r="AV40" s="2">
        <f>AU40*(1+Asumptions!AV6)</f>
        <v>34078.199999999997</v>
      </c>
      <c r="AW40" s="2">
        <f>AV40*(1+Asumptions!AW6)</f>
        <v>34930.154999999992</v>
      </c>
      <c r="AX40" s="2">
        <f>AW40*(1+Asumptions!AX6)</f>
        <v>35803.408874999986</v>
      </c>
      <c r="AY40" s="2">
        <f>AX40*(1+Asumptions!AY6)</f>
        <v>36519.477052499984</v>
      </c>
      <c r="AZ40" s="2">
        <f>AY40*(1+Asumptions!AZ6)</f>
        <v>37249.866593549981</v>
      </c>
      <c r="BA40" s="2"/>
    </row>
    <row r="41" spans="2:53" x14ac:dyDescent="0.25">
      <c r="B41" t="s">
        <v>145</v>
      </c>
      <c r="S41" s="2">
        <v>6820</v>
      </c>
      <c r="T41" s="2">
        <v>7482</v>
      </c>
      <c r="U41" s="2">
        <v>7351</v>
      </c>
      <c r="V41" s="2">
        <f t="shared" si="27"/>
        <v>6331</v>
      </c>
      <c r="W41" s="2">
        <v>6511</v>
      </c>
      <c r="X41" s="2">
        <v>6232</v>
      </c>
      <c r="Y41" s="2">
        <v>6165</v>
      </c>
      <c r="Z41" s="2">
        <f t="shared" si="28"/>
        <v>7286</v>
      </c>
      <c r="AA41" s="2"/>
      <c r="AB41" s="2"/>
      <c r="AC41" s="2"/>
      <c r="AD41" s="2"/>
      <c r="AO41" s="2">
        <v>3956</v>
      </c>
      <c r="AP41" s="2">
        <v>4106</v>
      </c>
      <c r="AQ41" s="2">
        <v>4061</v>
      </c>
      <c r="AR41" s="2">
        <v>6580</v>
      </c>
      <c r="AS41" s="2">
        <v>4946</v>
      </c>
      <c r="AT41" s="2">
        <v>6331</v>
      </c>
      <c r="AU41" s="2">
        <v>7286</v>
      </c>
      <c r="AV41" s="2">
        <f>AU41*AV24/AU24</f>
        <v>6416.5061380964662</v>
      </c>
      <c r="AW41" s="2">
        <f>AV41*AW24/AV24</f>
        <v>6614.8643946801994</v>
      </c>
      <c r="AX41" s="2">
        <f t="shared" ref="AX41:AZ41" si="29">AW41*AX24/AW24</f>
        <v>6810.8895387317343</v>
      </c>
      <c r="AY41" s="2">
        <f t="shared" si="29"/>
        <v>6977.6380848280351</v>
      </c>
      <c r="AZ41" s="2">
        <f t="shared" si="29"/>
        <v>7152.9834421123469</v>
      </c>
      <c r="BA41" s="2"/>
    </row>
    <row r="42" spans="2:53" x14ac:dyDescent="0.25">
      <c r="B42" t="s">
        <v>35</v>
      </c>
      <c r="S42" s="2">
        <v>30428</v>
      </c>
      <c r="T42" s="2">
        <v>17963</v>
      </c>
      <c r="U42" s="2">
        <v>19637</v>
      </c>
      <c r="V42" s="2">
        <f t="shared" si="27"/>
        <v>31477</v>
      </c>
      <c r="W42" s="2">
        <v>26908</v>
      </c>
      <c r="X42" s="2">
        <v>19313</v>
      </c>
      <c r="Y42" s="2">
        <v>20377</v>
      </c>
      <c r="Z42" s="2">
        <f t="shared" si="28"/>
        <v>32833</v>
      </c>
      <c r="AA42" s="2"/>
      <c r="AB42" s="2"/>
      <c r="AC42" s="2"/>
      <c r="AD42" s="2"/>
      <c r="AO42" s="2">
        <v>25809</v>
      </c>
      <c r="AP42" s="2">
        <v>22878</v>
      </c>
      <c r="AQ42" s="2">
        <v>21325</v>
      </c>
      <c r="AR42" s="2">
        <v>25228</v>
      </c>
      <c r="AS42" s="2">
        <v>32748</v>
      </c>
      <c r="AT42" s="2">
        <v>31477</v>
      </c>
      <c r="AU42" s="2">
        <v>32833</v>
      </c>
      <c r="AV42" s="2">
        <f>AVERAGE(AO42:AU42)</f>
        <v>27471.142857142859</v>
      </c>
      <c r="AW42" s="2">
        <f>AV42</f>
        <v>27471.142857142859</v>
      </c>
      <c r="AX42" s="2">
        <f t="shared" ref="AX42:AZ42" si="30">AW42</f>
        <v>27471.142857142859</v>
      </c>
      <c r="AY42" s="2">
        <f t="shared" si="30"/>
        <v>27471.142857142859</v>
      </c>
      <c r="AZ42" s="2">
        <f t="shared" si="30"/>
        <v>27471.142857142859</v>
      </c>
      <c r="BA42" s="2"/>
    </row>
    <row r="43" spans="2:53" x14ac:dyDescent="0.25">
      <c r="B43" t="s">
        <v>36</v>
      </c>
      <c r="S43" s="2">
        <v>16422</v>
      </c>
      <c r="T43" s="2">
        <v>13660</v>
      </c>
      <c r="U43" s="2">
        <v>13640</v>
      </c>
      <c r="V43" s="2">
        <f t="shared" si="27"/>
        <v>14695</v>
      </c>
      <c r="W43" s="2">
        <v>13979</v>
      </c>
      <c r="X43" s="2">
        <v>13884</v>
      </c>
      <c r="Y43" s="2">
        <v>14297</v>
      </c>
      <c r="Z43" s="2">
        <f t="shared" si="28"/>
        <v>14287</v>
      </c>
      <c r="AB43" s="2"/>
      <c r="AC43" s="2"/>
      <c r="AD43" s="2"/>
      <c r="AO43" s="2">
        <v>12087</v>
      </c>
      <c r="AP43" s="2">
        <v>12352</v>
      </c>
      <c r="AQ43" s="2">
        <v>11264</v>
      </c>
      <c r="AR43" s="2">
        <v>14111</v>
      </c>
      <c r="AS43" s="2">
        <v>21223</v>
      </c>
      <c r="AT43" s="2">
        <v>14695</v>
      </c>
      <c r="AU43" s="2">
        <v>14287</v>
      </c>
      <c r="AV43" s="2">
        <f>AU43*(1+Asumptions!AV6)</f>
        <v>14572.74</v>
      </c>
      <c r="AW43" s="2">
        <f>AV43*(1+Asumptions!AW6)</f>
        <v>14937.058499999999</v>
      </c>
      <c r="AX43" s="2">
        <f>AW43*(1+Asumptions!AX6)</f>
        <v>15310.484962499997</v>
      </c>
      <c r="AY43" s="2">
        <f>AX43*(1+Asumptions!AY6)</f>
        <v>15616.694661749998</v>
      </c>
      <c r="AZ43" s="2">
        <f>AY43*(1+Asumptions!AZ6)</f>
        <v>15929.028554984998</v>
      </c>
      <c r="BA43" s="2"/>
    </row>
    <row r="44" spans="2:53" x14ac:dyDescent="0.25">
      <c r="B44" t="s">
        <v>37</v>
      </c>
      <c r="S44" s="2">
        <v>42951</v>
      </c>
      <c r="T44" s="2">
        <v>43398</v>
      </c>
      <c r="U44" s="2">
        <v>43550</v>
      </c>
      <c r="V44" s="2">
        <f t="shared" si="27"/>
        <v>43715</v>
      </c>
      <c r="W44" s="2">
        <v>43666</v>
      </c>
      <c r="X44" s="2">
        <v>43546</v>
      </c>
      <c r="Y44" s="2">
        <v>44502</v>
      </c>
      <c r="Z44" s="2">
        <f t="shared" si="28"/>
        <v>45680</v>
      </c>
      <c r="AA44" s="2"/>
      <c r="AB44" s="2"/>
      <c r="AC44" s="2"/>
      <c r="AD44" s="2"/>
      <c r="AO44" s="2">
        <v>41304</v>
      </c>
      <c r="AP44" s="2">
        <v>37378</v>
      </c>
      <c r="AQ44" s="2">
        <v>36766</v>
      </c>
      <c r="AR44" s="2">
        <v>39440</v>
      </c>
      <c r="AS44" s="2">
        <v>42117</v>
      </c>
      <c r="AT44" s="2">
        <v>43715</v>
      </c>
      <c r="AU44" s="2">
        <v>45680</v>
      </c>
      <c r="AV44" s="2">
        <f>Asumptions!AV24</f>
        <v>46484.588998559375</v>
      </c>
      <c r="AW44" s="2">
        <f>Asumptions!AW24</f>
        <v>47309.292722082726</v>
      </c>
      <c r="AX44" s="2">
        <f>Asumptions!AX24</f>
        <v>48154.614038694162</v>
      </c>
      <c r="AY44" s="2">
        <f>Asumptions!AY24</f>
        <v>49016.841781637828</v>
      </c>
      <c r="AZ44" s="2">
        <f>Asumptions!AZ24</f>
        <v>49896.314079440373</v>
      </c>
      <c r="BA44" s="2"/>
    </row>
    <row r="45" spans="2:53" x14ac:dyDescent="0.25">
      <c r="B45" t="s">
        <v>38</v>
      </c>
      <c r="S45" s="2">
        <v>60924</v>
      </c>
      <c r="T45" s="2">
        <v>65388</v>
      </c>
      <c r="U45" s="2">
        <v>64768</v>
      </c>
      <c r="V45" s="2">
        <f t="shared" si="27"/>
        <v>64758</v>
      </c>
      <c r="W45" s="2">
        <v>66681</v>
      </c>
      <c r="X45" s="2">
        <v>70262</v>
      </c>
      <c r="Y45" s="2">
        <v>70435</v>
      </c>
      <c r="Z45" s="2">
        <f t="shared" si="28"/>
        <v>74834</v>
      </c>
      <c r="AA45" s="2"/>
      <c r="AB45" s="2"/>
      <c r="AC45" s="2"/>
      <c r="AD45" s="2"/>
      <c r="AO45" s="2">
        <v>22283</v>
      </c>
      <c r="AP45" s="2">
        <v>32978</v>
      </c>
      <c r="AQ45" s="2">
        <v>42522</v>
      </c>
      <c r="AR45" s="2">
        <v>48849</v>
      </c>
      <c r="AS45" s="2">
        <v>54428</v>
      </c>
      <c r="AT45" s="2">
        <v>64758</v>
      </c>
      <c r="AU45" s="2">
        <v>74834</v>
      </c>
      <c r="AV45" s="2">
        <f>AU45*(1+Asumptions!AV6)</f>
        <v>76330.680000000008</v>
      </c>
      <c r="AW45" s="2">
        <f>AV45*(1+Asumptions!AW6)</f>
        <v>78238.947</v>
      </c>
      <c r="AX45" s="2">
        <f>AW45*(1+Asumptions!AX6)</f>
        <v>80194.920674999987</v>
      </c>
      <c r="AY45" s="2">
        <f>AX45*(1+Asumptions!AY6)</f>
        <v>81798.819088499993</v>
      </c>
      <c r="AZ45" s="2">
        <f>AY45*(1+Asumptions!AZ6)</f>
        <v>83434.795470269994</v>
      </c>
      <c r="BA45" s="2"/>
    </row>
    <row r="46" spans="2:53" x14ac:dyDescent="0.25">
      <c r="B46" t="s">
        <v>39</v>
      </c>
      <c r="S46" s="2">
        <f>SUM(S39:S45)</f>
        <v>346747</v>
      </c>
      <c r="T46" s="2">
        <f>SUM(T39:T45)</f>
        <v>332160</v>
      </c>
      <c r="U46" s="2">
        <f t="shared" ref="U46:Z46" si="31">SUM(U39:U45)</f>
        <v>335038</v>
      </c>
      <c r="V46" s="2">
        <f t="shared" si="31"/>
        <v>352583</v>
      </c>
      <c r="W46" s="2">
        <f t="shared" si="31"/>
        <v>353514</v>
      </c>
      <c r="X46" s="2">
        <f t="shared" si="31"/>
        <v>337411</v>
      </c>
      <c r="Y46" s="2">
        <f t="shared" si="31"/>
        <v>328842</v>
      </c>
      <c r="Z46" s="2">
        <f t="shared" si="31"/>
        <v>364980</v>
      </c>
      <c r="AA46" s="2"/>
      <c r="AB46" s="2"/>
      <c r="AC46" s="2"/>
      <c r="AD46" s="2"/>
      <c r="AO46" s="2">
        <f t="shared" ref="AO46" si="32">SUM(AO39:AO45)</f>
        <v>365725</v>
      </c>
      <c r="AP46" s="2">
        <f t="shared" ref="AP46" si="33">SUM(AP39:AP45)</f>
        <v>338516</v>
      </c>
      <c r="AQ46" s="2">
        <f t="shared" ref="AQ46" si="34">SUM(AQ39:AQ45)</f>
        <v>323888</v>
      </c>
      <c r="AR46" s="2">
        <f t="shared" ref="AR46" si="35">SUM(AR39:AR45)</f>
        <v>351002</v>
      </c>
      <c r="AS46" s="2">
        <f t="shared" ref="AS46" si="36">SUM(AS39:AS45)</f>
        <v>352755</v>
      </c>
      <c r="AT46" s="2">
        <f t="shared" ref="AT46" si="37">SUM(AT39:AT45)</f>
        <v>352583</v>
      </c>
      <c r="AU46" s="2">
        <f t="shared" ref="AU46" si="38">SUM(AU39:AU45)</f>
        <v>364980</v>
      </c>
      <c r="AV46" s="2">
        <f t="shared" ref="AV46" si="39">SUM(AV39:AV45)</f>
        <v>374112.85799379874</v>
      </c>
      <c r="AW46" s="2">
        <f t="shared" ref="AW46" si="40">SUM(AW39:AW45)</f>
        <v>396255.33062256878</v>
      </c>
      <c r="AX46" s="2">
        <f t="shared" ref="AX46" si="41">SUM(AX39:AX45)</f>
        <v>420808.46094706876</v>
      </c>
      <c r="AY46" s="2">
        <f t="shared" ref="AY46" si="42">SUM(AY39:AY45)</f>
        <v>446117.61352635868</v>
      </c>
      <c r="AZ46" s="2">
        <f t="shared" ref="AZ46" si="43">SUM(AZ39:AZ45)</f>
        <v>473322.1309975005</v>
      </c>
      <c r="BA46" s="2"/>
    </row>
    <row r="47" spans="2:53" x14ac:dyDescent="0.25">
      <c r="AA47" s="2"/>
      <c r="AB47" s="2"/>
      <c r="AC47" s="2"/>
      <c r="AD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2:53" x14ac:dyDescent="0.25">
      <c r="B48" t="s">
        <v>92</v>
      </c>
      <c r="S48" s="2">
        <v>57918</v>
      </c>
      <c r="T48" s="2">
        <v>42945</v>
      </c>
      <c r="U48" s="2">
        <v>46699</v>
      </c>
      <c r="V48" s="2">
        <f>AT48</f>
        <v>62611</v>
      </c>
      <c r="W48" s="2">
        <v>58146</v>
      </c>
      <c r="X48" s="2">
        <v>45753</v>
      </c>
      <c r="Y48" s="2">
        <v>47574</v>
      </c>
      <c r="Z48" s="2">
        <f>AU48</f>
        <v>68960</v>
      </c>
      <c r="AA48" s="2"/>
      <c r="AB48" s="2"/>
      <c r="AC48" s="2"/>
      <c r="AD48" s="2"/>
      <c r="AO48" s="2">
        <v>55888</v>
      </c>
      <c r="AP48" s="2">
        <v>46236</v>
      </c>
      <c r="AQ48" s="2">
        <v>42296</v>
      </c>
      <c r="AR48" s="2">
        <v>54763</v>
      </c>
      <c r="AS48" s="2">
        <v>64115</v>
      </c>
      <c r="AT48" s="2">
        <v>62611</v>
      </c>
      <c r="AU48" s="2">
        <v>68960</v>
      </c>
      <c r="AV48" s="2">
        <f>AU48*AV24/AU24</f>
        <v>60730.478078936634</v>
      </c>
      <c r="AW48" s="2">
        <f t="shared" ref="AW48:AZ48" si="44">AV48*AW24/AV24</f>
        <v>62607.884800596563</v>
      </c>
      <c r="AX48" s="2">
        <f t="shared" si="44"/>
        <v>64463.209249374195</v>
      </c>
      <c r="AY48" s="2">
        <f t="shared" si="44"/>
        <v>66041.438694721553</v>
      </c>
      <c r="AZ48" s="2">
        <f t="shared" si="44"/>
        <v>67701.034609946117</v>
      </c>
      <c r="BA48" s="2"/>
    </row>
    <row r="49" spans="2:53" x14ac:dyDescent="0.25">
      <c r="B49" t="s">
        <v>91</v>
      </c>
      <c r="S49" s="2">
        <v>59893</v>
      </c>
      <c r="T49" s="2">
        <v>56425</v>
      </c>
      <c r="U49" s="2">
        <v>58897</v>
      </c>
      <c r="V49" s="2">
        <f t="shared" ref="V49:V58" si="45">AT49</f>
        <v>58829</v>
      </c>
      <c r="W49" s="2">
        <v>54611</v>
      </c>
      <c r="X49" s="2">
        <v>57298</v>
      </c>
      <c r="Y49" s="2">
        <v>60889</v>
      </c>
      <c r="Z49" s="2">
        <f t="shared" ref="Z49:Z58" si="46">AU49</f>
        <v>78304</v>
      </c>
      <c r="AA49" s="2"/>
      <c r="AB49" s="2"/>
      <c r="AC49" s="2"/>
      <c r="AD49" s="2"/>
      <c r="AO49" s="2">
        <v>32687</v>
      </c>
      <c r="AP49" s="2">
        <v>37720</v>
      </c>
      <c r="AQ49" s="2">
        <v>42684</v>
      </c>
      <c r="AR49" s="2">
        <v>47493</v>
      </c>
      <c r="AS49" s="2">
        <v>60845</v>
      </c>
      <c r="AT49" s="2">
        <v>58829</v>
      </c>
      <c r="AU49" s="2">
        <v>78304</v>
      </c>
      <c r="AV49" s="2">
        <f>AU49*(1+Asumptions!AV6)</f>
        <v>79870.080000000002</v>
      </c>
      <c r="AW49" s="2">
        <f>AV49*(1+Asumptions!AW6)</f>
        <v>81866.831999999995</v>
      </c>
      <c r="AX49" s="2">
        <f>AW49*(1+Asumptions!AX6)</f>
        <v>83913.502799999987</v>
      </c>
      <c r="AY49" s="2">
        <f>AX49*(1+Asumptions!AY6)</f>
        <v>85591.772855999996</v>
      </c>
      <c r="AZ49" s="2">
        <f>AY49*(1+Asumptions!AZ6)</f>
        <v>87303.608313119999</v>
      </c>
      <c r="BA49" s="2"/>
    </row>
    <row r="50" spans="2:53" x14ac:dyDescent="0.25">
      <c r="B50" t="s">
        <v>40</v>
      </c>
      <c r="S50" s="2">
        <v>7992</v>
      </c>
      <c r="T50" s="2">
        <v>8131</v>
      </c>
      <c r="U50" s="2">
        <v>8158</v>
      </c>
      <c r="V50" s="2">
        <f t="shared" si="45"/>
        <v>8061</v>
      </c>
      <c r="W50" s="2">
        <v>8264</v>
      </c>
      <c r="X50" s="2">
        <v>8012</v>
      </c>
      <c r="Y50" s="2">
        <v>8053</v>
      </c>
      <c r="Z50" s="2">
        <f t="shared" si="46"/>
        <v>8249</v>
      </c>
      <c r="AA50" s="2"/>
      <c r="AB50" s="2"/>
      <c r="AC50" s="2"/>
      <c r="AD50" s="2"/>
      <c r="AO50" s="2">
        <f>7543+2797</f>
        <v>10340</v>
      </c>
      <c r="AP50" s="2">
        <f>5522</f>
        <v>5522</v>
      </c>
      <c r="AQ50" s="2">
        <v>6643</v>
      </c>
      <c r="AR50" s="2">
        <v>7612</v>
      </c>
      <c r="AS50" s="2">
        <v>7912</v>
      </c>
      <c r="AT50" s="2">
        <v>8061</v>
      </c>
      <c r="AU50" s="2">
        <v>8249</v>
      </c>
      <c r="AV50" s="2">
        <f>AU50*(1+Asumptions!AV6)</f>
        <v>8413.98</v>
      </c>
      <c r="AW50" s="2">
        <f>AV50*(1+Asumptions!AW6)</f>
        <v>8624.329499999998</v>
      </c>
      <c r="AX50" s="2">
        <f>AW50*(1+Asumptions!AX6)</f>
        <v>8839.9377374999967</v>
      </c>
      <c r="AY50" s="2">
        <f>AX50*(1+Asumptions!AY6)</f>
        <v>9016.7364922499964</v>
      </c>
      <c r="AZ50" s="2">
        <f>AY50*(1+Asumptions!AZ6)</f>
        <v>9197.0712220949972</v>
      </c>
      <c r="BA50" s="2"/>
    </row>
    <row r="51" spans="2:53" x14ac:dyDescent="0.25">
      <c r="B51" t="s">
        <v>41</v>
      </c>
      <c r="S51" s="2">
        <f>1743+9740+99627</f>
        <v>111110</v>
      </c>
      <c r="T51" s="2">
        <f>1996+10578+97041</f>
        <v>109615</v>
      </c>
      <c r="U51" s="12">
        <f>3993+7216+98071</f>
        <v>109280</v>
      </c>
      <c r="V51" s="2">
        <f t="shared" si="45"/>
        <v>111088</v>
      </c>
      <c r="W51">
        <f>1998+10954+95088</f>
        <v>108040</v>
      </c>
      <c r="X51">
        <f>1997+10762+91831</f>
        <v>104590</v>
      </c>
      <c r="Y51">
        <f>2994+12114+86196</f>
        <v>101304</v>
      </c>
      <c r="Z51" s="2">
        <f t="shared" si="46"/>
        <v>106629</v>
      </c>
      <c r="AA51" s="2"/>
      <c r="AB51" s="2"/>
      <c r="AC51" s="2"/>
      <c r="AD51" s="2"/>
      <c r="AO51" s="2">
        <f>11964+8784+93735</f>
        <v>114483</v>
      </c>
      <c r="AP51" s="2">
        <f>5980+10260+91807</f>
        <v>108047</v>
      </c>
      <c r="AQ51" s="2">
        <f>4996+8773+98667</f>
        <v>112436</v>
      </c>
      <c r="AR51" s="2">
        <f>6000+9613+109106</f>
        <v>124719</v>
      </c>
      <c r="AS51" s="2">
        <f>9982+11128+98959</f>
        <v>120069</v>
      </c>
      <c r="AT51" s="2">
        <f>5985+9822+95281</f>
        <v>111088</v>
      </c>
      <c r="AU51" s="2">
        <f>9967+10912+85750</f>
        <v>106629</v>
      </c>
      <c r="AV51" s="2">
        <f>AU51</f>
        <v>106629</v>
      </c>
      <c r="AW51" s="2">
        <f t="shared" ref="AW51:AZ51" si="47">AV51</f>
        <v>106629</v>
      </c>
      <c r="AX51" s="2">
        <f t="shared" si="47"/>
        <v>106629</v>
      </c>
      <c r="AY51" s="2">
        <f t="shared" si="47"/>
        <v>106629</v>
      </c>
      <c r="AZ51" s="2">
        <f t="shared" si="47"/>
        <v>106629</v>
      </c>
      <c r="BA51" s="2"/>
    </row>
    <row r="52" spans="2:53" x14ac:dyDescent="0.25">
      <c r="B52" t="s">
        <v>42</v>
      </c>
      <c r="S52" s="2">
        <v>53107</v>
      </c>
      <c r="T52" s="2">
        <v>52886</v>
      </c>
      <c r="U52" s="2">
        <v>51730</v>
      </c>
      <c r="V52" s="2">
        <f t="shared" si="45"/>
        <v>49848</v>
      </c>
      <c r="W52" s="2">
        <v>50353</v>
      </c>
      <c r="X52" s="2">
        <v>47564</v>
      </c>
      <c r="Y52" s="2">
        <v>47084</v>
      </c>
      <c r="Z52" s="2">
        <f t="shared" si="46"/>
        <v>45888</v>
      </c>
      <c r="AA52" s="2"/>
      <c r="AB52" s="2"/>
      <c r="AC52" s="2"/>
      <c r="AD52" s="2"/>
      <c r="AO52" s="2">
        <v>45180</v>
      </c>
      <c r="AP52" s="2">
        <v>50503</v>
      </c>
      <c r="AQ52" s="2">
        <v>54490</v>
      </c>
      <c r="AR52" s="2">
        <v>53325</v>
      </c>
      <c r="AS52" s="2">
        <v>49142</v>
      </c>
      <c r="AT52" s="2">
        <v>49848</v>
      </c>
      <c r="AU52" s="2">
        <v>45888</v>
      </c>
      <c r="AV52" s="2">
        <f>AU52*(1+Asumptions!AV6)</f>
        <v>46805.760000000002</v>
      </c>
      <c r="AW52" s="2">
        <f>AV52*(1+Asumptions!AW6)</f>
        <v>47975.903999999995</v>
      </c>
      <c r="AX52" s="2">
        <f>AW52*(1+Asumptions!AX6)</f>
        <v>49175.301599999992</v>
      </c>
      <c r="AY52" s="2">
        <f>AX52*(1+Asumptions!AY6)</f>
        <v>50158.807631999989</v>
      </c>
      <c r="AZ52" s="2">
        <f>AY52*(1+Asumptions!AZ6)</f>
        <v>51161.98378463999</v>
      </c>
      <c r="BA52" s="2"/>
    </row>
    <row r="53" spans="2:53" x14ac:dyDescent="0.25">
      <c r="B53" t="s">
        <v>149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O53" s="2">
        <f>SUM(AO48:AO52)</f>
        <v>258578</v>
      </c>
      <c r="AP53" s="2">
        <f t="shared" ref="AP53:AZ53" si="48">SUM(AP48:AP52)</f>
        <v>248028</v>
      </c>
      <c r="AQ53" s="2">
        <f t="shared" si="48"/>
        <v>258549</v>
      </c>
      <c r="AR53" s="2">
        <f t="shared" si="48"/>
        <v>287912</v>
      </c>
      <c r="AS53" s="2">
        <f t="shared" si="48"/>
        <v>302083</v>
      </c>
      <c r="AT53" s="2">
        <f t="shared" si="48"/>
        <v>290437</v>
      </c>
      <c r="AU53" s="2">
        <f t="shared" si="48"/>
        <v>308030</v>
      </c>
      <c r="AV53" s="2">
        <f t="shared" si="48"/>
        <v>302449.29807893664</v>
      </c>
      <c r="AW53" s="2">
        <f t="shared" si="48"/>
        <v>307703.95030059654</v>
      </c>
      <c r="AX53" s="2">
        <f t="shared" si="48"/>
        <v>313020.95138687419</v>
      </c>
      <c r="AY53" s="2">
        <f t="shared" si="48"/>
        <v>317437.75567497156</v>
      </c>
      <c r="AZ53" s="2">
        <f t="shared" si="48"/>
        <v>321992.69792980107</v>
      </c>
      <c r="BA53" s="2"/>
    </row>
    <row r="54" spans="2:53" x14ac:dyDescent="0.25"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2:53" x14ac:dyDescent="0.25">
      <c r="B55" t="s">
        <v>147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O55" s="2">
        <v>40201</v>
      </c>
      <c r="AP55" s="2">
        <v>45174</v>
      </c>
      <c r="AQ55" s="2">
        <v>50779</v>
      </c>
      <c r="AR55" s="2">
        <v>57365</v>
      </c>
      <c r="AS55" s="2">
        <v>64849</v>
      </c>
      <c r="AT55" s="2">
        <v>73812</v>
      </c>
      <c r="AU55" s="2">
        <v>83276</v>
      </c>
      <c r="AV55" s="2">
        <f>AU55+AV66</f>
        <v>95197.759999999995</v>
      </c>
      <c r="AW55" s="2">
        <f t="shared" ref="AW55:AZ55" si="49">AV55+AW66</f>
        <v>107417.564</v>
      </c>
      <c r="AX55" s="2">
        <f t="shared" si="49"/>
        <v>119942.86309999999</v>
      </c>
      <c r="AY55" s="2">
        <f t="shared" si="49"/>
        <v>132718.66818199999</v>
      </c>
      <c r="AZ55" s="2">
        <f t="shared" si="49"/>
        <v>145749.98936563998</v>
      </c>
      <c r="BA55" s="2"/>
    </row>
    <row r="56" spans="2:53" x14ac:dyDescent="0.25">
      <c r="B56" t="s">
        <v>142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O56" s="2">
        <v>70400</v>
      </c>
      <c r="AP56" s="2">
        <v>45898</v>
      </c>
      <c r="AQ56" s="2">
        <v>14966</v>
      </c>
      <c r="AR56" s="2">
        <v>5562</v>
      </c>
      <c r="AS56" s="2">
        <v>-3068</v>
      </c>
      <c r="AT56" s="2">
        <v>-214</v>
      </c>
      <c r="AU56" s="2">
        <v>-19154</v>
      </c>
      <c r="AV56" s="2">
        <f>Asumptions!AV44</f>
        <v>-16361.960591372335</v>
      </c>
      <c r="AW56" s="2">
        <f>Asumptions!AW44</f>
        <v>-11694.644151933506</v>
      </c>
      <c r="AX56" s="2">
        <f>Asumptions!AX44</f>
        <v>-4983.6273547840538</v>
      </c>
      <c r="AY56" s="2">
        <f>Asumptions!AY44</f>
        <v>3133.5924883176922</v>
      </c>
      <c r="AZ56" s="2">
        <f>Asumptions!AZ44</f>
        <v>12751.376307905681</v>
      </c>
      <c r="BA56" s="2"/>
    </row>
    <row r="57" spans="2:53" x14ac:dyDescent="0.25">
      <c r="B57" t="s">
        <v>148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O57" s="2">
        <v>-3454</v>
      </c>
      <c r="AP57" s="2">
        <v>-584</v>
      </c>
      <c r="AQ57" s="2">
        <v>-406</v>
      </c>
      <c r="AR57" s="2">
        <v>163</v>
      </c>
      <c r="AS57" s="2">
        <v>-11109</v>
      </c>
      <c r="AT57" s="2">
        <v>-11452</v>
      </c>
      <c r="AU57" s="2">
        <v>-7172</v>
      </c>
      <c r="AV57" s="2">
        <f>AU57</f>
        <v>-7172</v>
      </c>
      <c r="AW57" s="2">
        <f t="shared" ref="AW57:AZ57" si="50">AV57</f>
        <v>-7172</v>
      </c>
      <c r="AX57" s="2">
        <f t="shared" si="50"/>
        <v>-7172</v>
      </c>
      <c r="AY57" s="2">
        <f t="shared" si="50"/>
        <v>-7172</v>
      </c>
      <c r="AZ57" s="2">
        <f t="shared" si="50"/>
        <v>-7172</v>
      </c>
      <c r="BA57" s="2"/>
    </row>
    <row r="58" spans="2:53" x14ac:dyDescent="0.25">
      <c r="B58" t="s">
        <v>43</v>
      </c>
      <c r="S58" s="2">
        <v>56727</v>
      </c>
      <c r="T58" s="2">
        <v>62158</v>
      </c>
      <c r="U58" s="2">
        <v>60274</v>
      </c>
      <c r="V58" s="2">
        <f t="shared" si="45"/>
        <v>62146</v>
      </c>
      <c r="W58" s="2">
        <v>74100</v>
      </c>
      <c r="X58" s="2">
        <v>74194</v>
      </c>
      <c r="Y58" s="2">
        <v>66708</v>
      </c>
      <c r="Z58" s="2">
        <f t="shared" si="46"/>
        <v>56950</v>
      </c>
      <c r="AA58" s="2"/>
      <c r="AB58" s="2"/>
      <c r="AC58" s="2"/>
      <c r="AD58" s="2"/>
      <c r="AO58" s="2">
        <f>SUM(AO55:AO57)</f>
        <v>107147</v>
      </c>
      <c r="AP58" s="2">
        <f t="shared" ref="AP58:AZ58" si="51">SUM(AP55:AP57)</f>
        <v>90488</v>
      </c>
      <c r="AQ58" s="2">
        <f t="shared" si="51"/>
        <v>65339</v>
      </c>
      <c r="AR58" s="2">
        <f t="shared" si="51"/>
        <v>63090</v>
      </c>
      <c r="AS58" s="2">
        <f t="shared" si="51"/>
        <v>50672</v>
      </c>
      <c r="AT58" s="2">
        <f t="shared" si="51"/>
        <v>62146</v>
      </c>
      <c r="AU58" s="2">
        <f t="shared" si="51"/>
        <v>56950</v>
      </c>
      <c r="AV58" s="2">
        <f t="shared" si="51"/>
        <v>71663.799408627659</v>
      </c>
      <c r="AW58" s="2">
        <f t="shared" si="51"/>
        <v>88550.919848066493</v>
      </c>
      <c r="AX58" s="2">
        <f t="shared" si="51"/>
        <v>107787.23574521593</v>
      </c>
      <c r="AY58" s="2">
        <f t="shared" si="51"/>
        <v>128680.26067031769</v>
      </c>
      <c r="AZ58" s="2">
        <f t="shared" si="51"/>
        <v>151329.36567354566</v>
      </c>
      <c r="BA58" s="2"/>
    </row>
    <row r="59" spans="2:53" x14ac:dyDescent="0.25">
      <c r="B59" t="s">
        <v>44</v>
      </c>
      <c r="S59" s="2">
        <f t="shared" ref="S59:Z59" si="52">SUM(S48:S58)</f>
        <v>346747</v>
      </c>
      <c r="T59" s="2">
        <f t="shared" si="52"/>
        <v>332160</v>
      </c>
      <c r="U59" s="2">
        <f t="shared" si="52"/>
        <v>335038</v>
      </c>
      <c r="V59" s="2">
        <f t="shared" si="52"/>
        <v>352583</v>
      </c>
      <c r="W59" s="2">
        <f t="shared" si="52"/>
        <v>353514</v>
      </c>
      <c r="X59" s="2">
        <f t="shared" si="52"/>
        <v>337411</v>
      </c>
      <c r="Y59" s="2">
        <f t="shared" si="52"/>
        <v>331612</v>
      </c>
      <c r="Z59" s="2">
        <f t="shared" si="52"/>
        <v>364980</v>
      </c>
      <c r="AA59" s="2"/>
      <c r="AB59" s="2"/>
      <c r="AC59" s="2"/>
      <c r="AD59" s="2"/>
      <c r="AO59" s="2">
        <f>+AO53+AO58</f>
        <v>365725</v>
      </c>
      <c r="AP59" s="2">
        <f t="shared" ref="AP59:AZ59" si="53">+AP53+AP58</f>
        <v>338516</v>
      </c>
      <c r="AQ59" s="2">
        <f t="shared" si="53"/>
        <v>323888</v>
      </c>
      <c r="AR59" s="2">
        <f t="shared" si="53"/>
        <v>351002</v>
      </c>
      <c r="AS59" s="2">
        <f t="shared" si="53"/>
        <v>352755</v>
      </c>
      <c r="AT59" s="2">
        <f t="shared" si="53"/>
        <v>352583</v>
      </c>
      <c r="AU59" s="2">
        <f t="shared" si="53"/>
        <v>364980</v>
      </c>
      <c r="AV59" s="2">
        <f t="shared" si="53"/>
        <v>374113.09748756432</v>
      </c>
      <c r="AW59" s="2">
        <f t="shared" si="53"/>
        <v>396254.87014866306</v>
      </c>
      <c r="AX59" s="2">
        <f t="shared" si="53"/>
        <v>420808.1871320901</v>
      </c>
      <c r="AY59" s="2">
        <f t="shared" si="53"/>
        <v>446118.01634528924</v>
      </c>
      <c r="AZ59" s="2">
        <f t="shared" si="53"/>
        <v>473322.0636033467</v>
      </c>
      <c r="BA59" s="2"/>
    </row>
    <row r="60" spans="2:53" x14ac:dyDescent="0.25"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O60" s="2"/>
      <c r="AP60" s="2"/>
      <c r="AQ60" s="2"/>
      <c r="AR60" s="2"/>
      <c r="AS60" s="2"/>
      <c r="AT60" s="2"/>
      <c r="AU60" s="2"/>
      <c r="AV60" s="2"/>
      <c r="AW60" s="38">
        <v>396254.87014866306</v>
      </c>
      <c r="AX60" s="2"/>
      <c r="AY60" s="2"/>
      <c r="AZ60" s="2"/>
      <c r="BA60" s="2"/>
    </row>
    <row r="61" spans="2:53" x14ac:dyDescent="0.25">
      <c r="B61" s="10" t="s">
        <v>150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O61" s="2">
        <f>AO46-AO59</f>
        <v>0</v>
      </c>
      <c r="AP61" s="2">
        <f t="shared" ref="AP61:AZ61" si="54">AP46-AP59</f>
        <v>0</v>
      </c>
      <c r="AQ61" s="2">
        <f t="shared" si="54"/>
        <v>0</v>
      </c>
      <c r="AR61" s="2">
        <f t="shared" si="54"/>
        <v>0</v>
      </c>
      <c r="AS61" s="2">
        <f t="shared" si="54"/>
        <v>0</v>
      </c>
      <c r="AT61" s="2">
        <f t="shared" si="54"/>
        <v>0</v>
      </c>
      <c r="AU61" s="2">
        <f t="shared" si="54"/>
        <v>0</v>
      </c>
      <c r="AV61" s="2">
        <f t="shared" si="54"/>
        <v>-0.23949376557720825</v>
      </c>
      <c r="AW61" s="2">
        <f t="shared" si="54"/>
        <v>0.46047390572493896</v>
      </c>
      <c r="AX61" s="2">
        <f t="shared" si="54"/>
        <v>0.27381497866008431</v>
      </c>
      <c r="AY61" s="2">
        <f t="shared" si="54"/>
        <v>-0.40281893056817353</v>
      </c>
      <c r="AZ61" s="2">
        <f t="shared" si="54"/>
        <v>6.7394153797067702E-2</v>
      </c>
      <c r="BA61" s="2"/>
    </row>
    <row r="62" spans="2:53" x14ac:dyDescent="0.25">
      <c r="AA62" s="2"/>
      <c r="AB62" s="2"/>
      <c r="AC62" s="2"/>
      <c r="AD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2:53" x14ac:dyDescent="0.25">
      <c r="B63" t="s">
        <v>45</v>
      </c>
      <c r="S63" s="2">
        <f t="shared" ref="S63:Z63" si="55">S33</f>
        <v>29998</v>
      </c>
      <c r="T63" s="2">
        <f t="shared" si="55"/>
        <v>24160</v>
      </c>
      <c r="U63" s="2">
        <f t="shared" si="55"/>
        <v>19881</v>
      </c>
      <c r="V63" s="2">
        <f t="shared" si="55"/>
        <v>22956</v>
      </c>
      <c r="W63" s="2">
        <f t="shared" si="55"/>
        <v>33916</v>
      </c>
      <c r="X63" s="2">
        <f t="shared" si="55"/>
        <v>23636</v>
      </c>
      <c r="Y63" s="2">
        <f t="shared" si="55"/>
        <v>21448</v>
      </c>
      <c r="Z63" s="2">
        <f t="shared" si="55"/>
        <v>14736</v>
      </c>
      <c r="AA63" s="2"/>
      <c r="AB63" s="2"/>
      <c r="AC63" s="2"/>
      <c r="AD63" s="2"/>
      <c r="AO63" s="2">
        <f t="shared" ref="AO63:AZ63" si="56">AO33</f>
        <v>59531</v>
      </c>
      <c r="AP63" s="2">
        <f t="shared" si="56"/>
        <v>55256</v>
      </c>
      <c r="AQ63" s="2">
        <f t="shared" si="56"/>
        <v>57411</v>
      </c>
      <c r="AR63" s="2">
        <f t="shared" si="56"/>
        <v>94680</v>
      </c>
      <c r="AS63" s="2">
        <f t="shared" si="56"/>
        <v>99803</v>
      </c>
      <c r="AT63" s="2">
        <f t="shared" si="56"/>
        <v>96995</v>
      </c>
      <c r="AU63" s="2">
        <f t="shared" si="56"/>
        <v>93736</v>
      </c>
      <c r="AV63" s="2">
        <f t="shared" si="56"/>
        <v>117755.61351546299</v>
      </c>
      <c r="AW63" s="2">
        <f t="shared" si="56"/>
        <v>119994.34817197634</v>
      </c>
      <c r="AX63" s="2">
        <f t="shared" si="56"/>
        <v>122434.14919505848</v>
      </c>
      <c r="AY63" s="2">
        <f t="shared" si="56"/>
        <v>124112.89609023389</v>
      </c>
      <c r="AZ63" s="2">
        <f t="shared" si="56"/>
        <v>125904.29252035075</v>
      </c>
      <c r="BA63" s="2"/>
    </row>
    <row r="64" spans="2:53" x14ac:dyDescent="0.25">
      <c r="B64" t="s">
        <v>46</v>
      </c>
      <c r="S64" s="2">
        <v>29998</v>
      </c>
      <c r="T64" s="2">
        <f>54158-S64</f>
        <v>24160</v>
      </c>
      <c r="U64" s="2">
        <f>54158-T64</f>
        <v>29998</v>
      </c>
      <c r="V64" s="2">
        <f>54158-U64</f>
        <v>24160</v>
      </c>
      <c r="W64" s="2">
        <v>33916</v>
      </c>
      <c r="X64" s="2">
        <f>57552-W64</f>
        <v>23636</v>
      </c>
      <c r="Y64" s="2">
        <f>79000-X64-W64</f>
        <v>21448</v>
      </c>
      <c r="Z64" s="2">
        <f>AU64-Y64-X64-W64</f>
        <v>14736</v>
      </c>
      <c r="AA64" s="2"/>
      <c r="AB64" s="2"/>
      <c r="AC64" s="2"/>
      <c r="AD64" s="2"/>
      <c r="AO64" s="2">
        <v>59531</v>
      </c>
      <c r="AP64" s="2">
        <v>55256</v>
      </c>
      <c r="AQ64" s="2">
        <v>57411</v>
      </c>
      <c r="AR64" s="2">
        <v>94680</v>
      </c>
      <c r="AS64" s="2">
        <v>99803</v>
      </c>
      <c r="AT64" s="2">
        <v>96995</v>
      </c>
      <c r="AU64" s="2">
        <v>93736</v>
      </c>
      <c r="AV64" s="2">
        <v>117828.15520381785</v>
      </c>
      <c r="AW64" s="2">
        <v>119994.34817197634</v>
      </c>
      <c r="AX64" s="2">
        <v>122434.14919505846</v>
      </c>
      <c r="AY64" s="2">
        <v>124112.89609023389</v>
      </c>
      <c r="AZ64" s="2">
        <v>125904.29252035078</v>
      </c>
      <c r="BA64" s="2"/>
    </row>
    <row r="65" spans="2:53" x14ac:dyDescent="0.25">
      <c r="B65" t="s">
        <v>47</v>
      </c>
      <c r="S65" s="2">
        <v>2916</v>
      </c>
      <c r="T65" s="2">
        <f>5814-S65</f>
        <v>2898</v>
      </c>
      <c r="U65" s="2">
        <f>8866-T65</f>
        <v>5968</v>
      </c>
      <c r="V65" s="2">
        <f>AT65-U65</f>
        <v>5551</v>
      </c>
      <c r="W65">
        <v>2848</v>
      </c>
      <c r="X65">
        <f>5684-W65</f>
        <v>2836</v>
      </c>
      <c r="Y65">
        <f>8534-X65-W65</f>
        <v>2850</v>
      </c>
      <c r="Z65" s="2">
        <f t="shared" ref="Z65:Z68" si="57">AU65-Y65-X65-W65</f>
        <v>2911</v>
      </c>
      <c r="AA65" s="2"/>
      <c r="AB65" s="2"/>
      <c r="AC65" s="2"/>
      <c r="AD65" s="2"/>
      <c r="AO65" s="2">
        <v>10903</v>
      </c>
      <c r="AP65" s="2">
        <v>12547</v>
      </c>
      <c r="AQ65" s="2">
        <v>11056</v>
      </c>
      <c r="AR65" s="2">
        <v>11284</v>
      </c>
      <c r="AS65" s="2">
        <v>11104</v>
      </c>
      <c r="AT65" s="2">
        <v>11519</v>
      </c>
      <c r="AU65" s="2">
        <v>11445</v>
      </c>
      <c r="AV65" s="2">
        <f>Asumptions!AV31</f>
        <v>12021.276721440629</v>
      </c>
      <c r="AW65" s="2">
        <f>Asumptions!AW31</f>
        <v>12323.260681764645</v>
      </c>
      <c r="AX65" s="2">
        <f>Asumptions!AX31</f>
        <v>12632.78567926524</v>
      </c>
      <c r="AY65" s="2">
        <f>Asumptions!AY31</f>
        <v>12884.245930812507</v>
      </c>
      <c r="AZ65" s="2">
        <f>Asumptions!AZ31</f>
        <v>13143.137109089119</v>
      </c>
      <c r="BA65" s="2"/>
    </row>
    <row r="66" spans="2:53" x14ac:dyDescent="0.25">
      <c r="B66" t="s">
        <v>48</v>
      </c>
      <c r="S66" s="2">
        <v>2905</v>
      </c>
      <c r="T66" s="2">
        <f>5591-S66</f>
        <v>2686</v>
      </c>
      <c r="U66" s="2">
        <f>8208-T66</f>
        <v>5522</v>
      </c>
      <c r="V66" s="2">
        <f t="shared" ref="V66:V68" si="58">AT66-U66</f>
        <v>5311</v>
      </c>
      <c r="W66">
        <v>2997</v>
      </c>
      <c r="X66">
        <f>5961-W66</f>
        <v>2964</v>
      </c>
      <c r="Y66">
        <f>8830-W66-X66</f>
        <v>2869</v>
      </c>
      <c r="Z66" s="2">
        <f t="shared" si="57"/>
        <v>2858</v>
      </c>
      <c r="AA66" s="2"/>
      <c r="AB66" s="2"/>
      <c r="AC66" s="2"/>
      <c r="AD66" s="2"/>
      <c r="AO66" s="2">
        <v>5340</v>
      </c>
      <c r="AP66" s="2">
        <v>6068</v>
      </c>
      <c r="AQ66" s="2">
        <v>6829</v>
      </c>
      <c r="AR66" s="2">
        <v>7906</v>
      </c>
      <c r="AS66" s="2">
        <v>9038</v>
      </c>
      <c r="AT66" s="2">
        <v>10833</v>
      </c>
      <c r="AU66" s="2">
        <v>11688</v>
      </c>
      <c r="AV66" s="2">
        <f>AU66*(1+Asumptions!AV6)</f>
        <v>11921.76</v>
      </c>
      <c r="AW66" s="2">
        <f>AV66*(1+Asumptions!AW6)</f>
        <v>12219.803999999998</v>
      </c>
      <c r="AX66" s="2">
        <f>AW66*(1+Asumptions!AX6)</f>
        <v>12525.299099999997</v>
      </c>
      <c r="AY66" s="2">
        <f>AX66*(1+Asumptions!AY6)</f>
        <v>12775.805081999997</v>
      </c>
      <c r="AZ66" s="2">
        <f>AY66*(1+Asumptions!AZ6)</f>
        <v>13031.321183639997</v>
      </c>
      <c r="BA66" s="2"/>
    </row>
    <row r="67" spans="2:53" x14ac:dyDescent="0.25">
      <c r="B67" t="s">
        <v>49</v>
      </c>
      <c r="S67" s="2">
        <v>-317</v>
      </c>
      <c r="T67" s="2">
        <f>-1732-S67</f>
        <v>-1415</v>
      </c>
      <c r="U67" s="2">
        <f>-1651-T67</f>
        <v>-236</v>
      </c>
      <c r="V67" s="2">
        <f t="shared" si="58"/>
        <v>-2041</v>
      </c>
      <c r="W67">
        <v>-989</v>
      </c>
      <c r="X67">
        <f>-1971-W67</f>
        <v>-982</v>
      </c>
      <c r="Y67">
        <f>-1964-X67</f>
        <v>-982</v>
      </c>
      <c r="Z67" s="2">
        <f t="shared" si="57"/>
        <v>687</v>
      </c>
      <c r="AA67" s="2"/>
      <c r="AB67" s="2"/>
      <c r="AC67" s="2"/>
      <c r="AD67" s="2"/>
      <c r="AO67" s="2">
        <v>-444</v>
      </c>
      <c r="AP67" s="2">
        <v>-652</v>
      </c>
      <c r="AQ67" s="2">
        <v>-97</v>
      </c>
      <c r="AR67" s="2">
        <v>-147</v>
      </c>
      <c r="AS67" s="2">
        <v>111</v>
      </c>
      <c r="AT67" s="2">
        <v>-2277</v>
      </c>
      <c r="AU67" s="2">
        <v>-2266</v>
      </c>
      <c r="AV67" s="2">
        <f>AU67</f>
        <v>-2266</v>
      </c>
      <c r="AW67" s="2">
        <f t="shared" ref="AW67:AZ67" si="59">AV67</f>
        <v>-2266</v>
      </c>
      <c r="AX67" s="2">
        <f t="shared" si="59"/>
        <v>-2266</v>
      </c>
      <c r="AY67" s="2">
        <f t="shared" si="59"/>
        <v>-2266</v>
      </c>
      <c r="AZ67" s="2">
        <f t="shared" si="59"/>
        <v>-2266</v>
      </c>
      <c r="BA67" s="2"/>
    </row>
    <row r="68" spans="2:53" x14ac:dyDescent="0.25">
      <c r="B68" t="s">
        <v>50</v>
      </c>
      <c r="S68" s="2">
        <f>4275-1807+2320-4099-6075+131+3758</f>
        <v>-1497</v>
      </c>
      <c r="T68" s="2">
        <f>9596-2548+14785-4092-20764+1757-S68</f>
        <v>231</v>
      </c>
      <c r="U68" s="2">
        <f>19549-7351+19637-64768-46699+51730-T68</f>
        <v>-28133</v>
      </c>
      <c r="V68" s="2">
        <f t="shared" si="58"/>
        <v>21556</v>
      </c>
      <c r="W68">
        <f>6555+4569-137-1457-4542-3865</f>
        <v>1123</v>
      </c>
      <c r="X68">
        <f>7727+12164+53-4438-16710-3437-W68</f>
        <v>-5764</v>
      </c>
      <c r="Y68">
        <f>6697+11100+41-5626-15171+2-X68</f>
        <v>2807</v>
      </c>
      <c r="Z68" s="2">
        <f t="shared" si="57"/>
        <v>5485</v>
      </c>
      <c r="AA68" s="2"/>
      <c r="AB68" s="2"/>
      <c r="AC68" s="2"/>
      <c r="AD68" s="2"/>
      <c r="AO68" s="2">
        <f>-5322+828-8010-4236+9175+38490</f>
        <v>30925</v>
      </c>
      <c r="AP68" s="2">
        <f>245-289+2931+873-1923-4700</f>
        <v>-2863</v>
      </c>
      <c r="AQ68" s="2">
        <f>6917-127+1553-9588-4062+8916</f>
        <v>3609</v>
      </c>
      <c r="AR68" s="2">
        <f>-10125-2642-3903-8042+12326+5799-4774</f>
        <v>-11361</v>
      </c>
      <c r="AS68" s="2">
        <f>-1823+1481-7520-6499+9448+5632</f>
        <v>719</v>
      </c>
      <c r="AT68" s="2">
        <f>-1688+1271-1618-5684-1889+3031</f>
        <v>-6577</v>
      </c>
      <c r="AU68" s="2">
        <f>-3788-1356-1046-11731+6020+15552</f>
        <v>3651</v>
      </c>
      <c r="AV68" s="2"/>
      <c r="AW68" s="2"/>
      <c r="AX68" s="2"/>
      <c r="AY68" s="2"/>
      <c r="AZ68" s="2"/>
      <c r="BA68" s="2"/>
    </row>
    <row r="69" spans="2:53" x14ac:dyDescent="0.25">
      <c r="B69" t="s">
        <v>51</v>
      </c>
      <c r="S69" s="2">
        <f>SUM(S64:S68)</f>
        <v>34005</v>
      </c>
      <c r="T69" s="2">
        <f>SUM(T64:T68)</f>
        <v>28560</v>
      </c>
      <c r="U69" s="2">
        <f>SUM(U64:U68)</f>
        <v>13119</v>
      </c>
      <c r="V69" s="2">
        <f>SUM(V64:V68)</f>
        <v>54537</v>
      </c>
      <c r="W69" s="2">
        <f t="shared" ref="W69:Z69" si="60">SUM(W64:W68)</f>
        <v>39895</v>
      </c>
      <c r="X69" s="2">
        <f t="shared" si="60"/>
        <v>22690</v>
      </c>
      <c r="Y69" s="2">
        <f t="shared" si="60"/>
        <v>28992</v>
      </c>
      <c r="Z69" s="2">
        <f t="shared" si="60"/>
        <v>26677</v>
      </c>
      <c r="AA69" s="2"/>
      <c r="AB69" s="2"/>
      <c r="AC69" s="2"/>
      <c r="AD69" s="2"/>
      <c r="AO69" s="2">
        <f>SUM(AO64:AO68)</f>
        <v>106255</v>
      </c>
      <c r="AP69" s="2">
        <f t="shared" ref="AP69:AU69" si="61">SUM(AP64:AP68)</f>
        <v>70356</v>
      </c>
      <c r="AQ69" s="2">
        <f t="shared" si="61"/>
        <v>78808</v>
      </c>
      <c r="AR69" s="2">
        <f t="shared" si="61"/>
        <v>102362</v>
      </c>
      <c r="AS69" s="2">
        <f t="shared" si="61"/>
        <v>120775</v>
      </c>
      <c r="AT69" s="2">
        <f t="shared" si="61"/>
        <v>110493</v>
      </c>
      <c r="AU69" s="2">
        <f t="shared" si="61"/>
        <v>118254</v>
      </c>
      <c r="AV69" s="2">
        <f>SUM(AV64:AV68)</f>
        <v>139505.19192525849</v>
      </c>
      <c r="AW69" s="2">
        <f t="shared" ref="AW69" si="62">SUM(AW64:AW68)</f>
        <v>142271.41285374097</v>
      </c>
      <c r="AX69" s="2">
        <f t="shared" ref="AX69" si="63">SUM(AX64:AX68)</f>
        <v>145326.2339743237</v>
      </c>
      <c r="AY69" s="2">
        <f t="shared" ref="AY69" si="64">SUM(AY64:AY68)</f>
        <v>147506.9471030464</v>
      </c>
      <c r="AZ69" s="2">
        <f t="shared" ref="AZ69" si="65">SUM(AZ64:AZ68)</f>
        <v>149812.75081307988</v>
      </c>
      <c r="BA69" s="2"/>
    </row>
    <row r="70" spans="2:53" x14ac:dyDescent="0.25">
      <c r="AA70" s="2"/>
      <c r="AB70" s="2"/>
      <c r="AC70" s="2"/>
      <c r="AD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2:53" x14ac:dyDescent="0.25">
      <c r="B71" t="s">
        <v>52</v>
      </c>
      <c r="S71" s="2">
        <f>-5153+7127+509</f>
        <v>2483</v>
      </c>
      <c r="T71" s="2">
        <f>-11197+17124+1897-S71</f>
        <v>5341</v>
      </c>
      <c r="U71" s="2">
        <f>-20956+27857+3959-T71</f>
        <v>5519</v>
      </c>
      <c r="V71" s="2">
        <f>AT71-U71</f>
        <v>10482</v>
      </c>
      <c r="W71">
        <f>-9780+13046+1337</f>
        <v>4603</v>
      </c>
      <c r="X71">
        <f>-25042+27462+4314-W71</f>
        <v>2131</v>
      </c>
      <c r="Y71">
        <f>-38074+39838+7382-X71-W71</f>
        <v>2412</v>
      </c>
      <c r="Z71" s="2">
        <f>AU71-W71-X71-Y71</f>
        <v>4544</v>
      </c>
      <c r="AA71" s="2"/>
      <c r="AB71" s="2"/>
      <c r="AC71" s="2"/>
      <c r="AD71" s="2"/>
      <c r="AO71" s="2">
        <f>-71356+55881+47838-1871+353</f>
        <v>30845</v>
      </c>
      <c r="AP71" s="2">
        <f>-39630+40102+56988-1001+1634</f>
        <v>58093</v>
      </c>
      <c r="AQ71" s="2">
        <f>-114938+69918+50473</f>
        <v>5453</v>
      </c>
      <c r="AR71" s="2">
        <f>-109558+59023+47460</f>
        <v>-3075</v>
      </c>
      <c r="AS71" s="2">
        <f>-76923+29917+37446</f>
        <v>-9560</v>
      </c>
      <c r="AT71" s="2">
        <f>-29513+39686+5828</f>
        <v>16001</v>
      </c>
      <c r="AU71" s="2">
        <f>-48656+51211+11135</f>
        <v>13690</v>
      </c>
      <c r="AV71" s="2">
        <f>AU71</f>
        <v>13690</v>
      </c>
      <c r="AW71" s="2">
        <f t="shared" ref="AW71:AZ71" si="66">AV71</f>
        <v>13690</v>
      </c>
      <c r="AX71" s="2">
        <f t="shared" si="66"/>
        <v>13690</v>
      </c>
      <c r="AY71" s="2">
        <f t="shared" si="66"/>
        <v>13690</v>
      </c>
      <c r="AZ71" s="2">
        <f t="shared" si="66"/>
        <v>13690</v>
      </c>
      <c r="BA71" s="2"/>
    </row>
    <row r="72" spans="2:53" x14ac:dyDescent="0.25">
      <c r="B72" t="s">
        <v>53</v>
      </c>
      <c r="S72" s="2">
        <v>-3787</v>
      </c>
      <c r="T72" s="2">
        <f>-6703-S72</f>
        <v>-2916</v>
      </c>
      <c r="U72" s="2">
        <f>-8796-T72</f>
        <v>-5880</v>
      </c>
      <c r="V72" s="2">
        <f t="shared" ref="V72:V73" si="67">AT72-U72</f>
        <v>-5079</v>
      </c>
      <c r="W72">
        <v>2392</v>
      </c>
      <c r="X72">
        <f>-4388-W72</f>
        <v>-6780</v>
      </c>
      <c r="Y72">
        <f>-6539-W72-X72</f>
        <v>-2151</v>
      </c>
      <c r="Z72" s="2">
        <f t="shared" ref="Z72:Z73" si="68">AU72-W72-X72-Y72</f>
        <v>-2908</v>
      </c>
      <c r="AA72" s="2"/>
      <c r="AB72" s="2"/>
      <c r="AC72" s="2"/>
      <c r="AD72" s="2"/>
      <c r="AO72" s="2">
        <f>-13313-721</f>
        <v>-14034</v>
      </c>
      <c r="AP72" s="2">
        <f>-10495-624</f>
        <v>-11119</v>
      </c>
      <c r="AQ72" s="2">
        <f>-7309-1524-210+92</f>
        <v>-8951</v>
      </c>
      <c r="AR72" s="2">
        <f>-11085-33-131+387</f>
        <v>-10862</v>
      </c>
      <c r="AS72" s="2">
        <f>-10708-306</f>
        <v>-11014</v>
      </c>
      <c r="AT72" s="2">
        <v>-10959</v>
      </c>
      <c r="AU72" s="2">
        <v>-9447</v>
      </c>
      <c r="AV72" s="2">
        <f>-Asumptions!AV22</f>
        <v>-9635.94</v>
      </c>
      <c r="AW72" s="2">
        <f>-Asumptions!AW22</f>
        <v>-9876.8384999999998</v>
      </c>
      <c r="AX72" s="2">
        <f>-Asumptions!AX22</f>
        <v>-10123.759462499998</v>
      </c>
      <c r="AY72" s="2">
        <f>-Asumptions!AY22</f>
        <v>-10326.234651749999</v>
      </c>
      <c r="AZ72" s="2">
        <f>-Asumptions!AZ22</f>
        <v>-10532.759344784999</v>
      </c>
      <c r="BA72" s="2"/>
    </row>
    <row r="73" spans="2:53" x14ac:dyDescent="0.25">
      <c r="B73" t="s">
        <v>49</v>
      </c>
      <c r="S73" s="2">
        <v>-141</v>
      </c>
      <c r="T73" s="2">
        <f>-247-S73</f>
        <v>-106</v>
      </c>
      <c r="U73" s="2">
        <f>-753-T73</f>
        <v>-647</v>
      </c>
      <c r="V73" s="2">
        <f t="shared" si="67"/>
        <v>-690</v>
      </c>
      <c r="W73">
        <v>-284</v>
      </c>
      <c r="X73">
        <f>-729-W73</f>
        <v>-445</v>
      </c>
      <c r="Y73">
        <f>-1117-W73-X73</f>
        <v>-388</v>
      </c>
      <c r="Z73" s="2">
        <f t="shared" si="68"/>
        <v>-191</v>
      </c>
      <c r="AA73" s="2"/>
      <c r="AB73" s="2"/>
      <c r="AC73" s="2"/>
      <c r="AD73" s="2"/>
      <c r="AO73" s="2">
        <v>-745</v>
      </c>
      <c r="AP73" s="2">
        <f>-1078</f>
        <v>-1078</v>
      </c>
      <c r="AQ73" s="2">
        <v>-791</v>
      </c>
      <c r="AR73" s="2">
        <v>-608</v>
      </c>
      <c r="AS73" s="2">
        <v>-1780</v>
      </c>
      <c r="AT73" s="2">
        <v>-1337</v>
      </c>
      <c r="AU73" s="2">
        <v>-1308</v>
      </c>
      <c r="AV73" s="2">
        <f>AU73</f>
        <v>-1308</v>
      </c>
      <c r="AW73" s="2">
        <f t="shared" ref="AW73:AZ73" si="69">AV73</f>
        <v>-1308</v>
      </c>
      <c r="AX73" s="2">
        <f t="shared" si="69"/>
        <v>-1308</v>
      </c>
      <c r="AY73" s="2">
        <f t="shared" si="69"/>
        <v>-1308</v>
      </c>
      <c r="AZ73" s="2">
        <f t="shared" si="69"/>
        <v>-1308</v>
      </c>
      <c r="BA73" s="2"/>
    </row>
    <row r="74" spans="2:53" x14ac:dyDescent="0.25">
      <c r="B74" t="s">
        <v>54</v>
      </c>
      <c r="S74" s="2">
        <f>SUM(S71:S73)</f>
        <v>-1445</v>
      </c>
      <c r="T74" s="2">
        <f>SUM(T71:T73)</f>
        <v>2319</v>
      </c>
      <c r="U74" s="2">
        <f>SUM(U71:U73)</f>
        <v>-1008</v>
      </c>
      <c r="V74" s="2">
        <f t="shared" ref="V74:Z74" si="70">SUM(V71:V73)</f>
        <v>4713</v>
      </c>
      <c r="W74" s="2">
        <f t="shared" si="70"/>
        <v>6711</v>
      </c>
      <c r="X74" s="2">
        <f t="shared" si="70"/>
        <v>-5094</v>
      </c>
      <c r="Y74" s="2">
        <f t="shared" si="70"/>
        <v>-127</v>
      </c>
      <c r="Z74" s="2">
        <f t="shared" si="70"/>
        <v>1445</v>
      </c>
      <c r="AA74" s="2"/>
      <c r="AB74" s="2"/>
      <c r="AC74" s="2"/>
      <c r="AD74" s="2"/>
      <c r="AO74" s="2">
        <f>SUM(AO71:AO73)</f>
        <v>16066</v>
      </c>
      <c r="AP74" s="2">
        <f t="shared" ref="AP74:AU74" si="71">SUM(AP71:AP73)</f>
        <v>45896</v>
      </c>
      <c r="AQ74" s="2">
        <f t="shared" si="71"/>
        <v>-4289</v>
      </c>
      <c r="AR74" s="2">
        <f t="shared" si="71"/>
        <v>-14545</v>
      </c>
      <c r="AS74" s="2">
        <f t="shared" si="71"/>
        <v>-22354</v>
      </c>
      <c r="AT74" s="2">
        <f t="shared" si="71"/>
        <v>3705</v>
      </c>
      <c r="AU74" s="2">
        <f t="shared" si="71"/>
        <v>2935</v>
      </c>
      <c r="AV74" s="2">
        <f t="shared" ref="AV74" si="72">SUM(AV71:AV73)</f>
        <v>2746.0599999999995</v>
      </c>
      <c r="AW74" s="2">
        <f t="shared" ref="AW74" si="73">SUM(AW71:AW73)</f>
        <v>2505.1615000000002</v>
      </c>
      <c r="AX74" s="2">
        <f t="shared" ref="AX74" si="74">SUM(AX71:AX73)</f>
        <v>2258.2405375000017</v>
      </c>
      <c r="AY74" s="2">
        <f t="shared" ref="AY74" si="75">SUM(AY71:AY73)</f>
        <v>2055.7653482500009</v>
      </c>
      <c r="AZ74" s="2">
        <f t="shared" ref="AZ74" si="76">SUM(AZ71:AZ73)</f>
        <v>1849.2406552150005</v>
      </c>
      <c r="BA74" s="2"/>
    </row>
    <row r="75" spans="2:53" x14ac:dyDescent="0.25">
      <c r="AA75" s="2"/>
      <c r="AB75" s="2"/>
      <c r="AC75" s="2"/>
      <c r="AD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2:53" x14ac:dyDescent="0.25">
      <c r="B76" t="s">
        <v>55</v>
      </c>
      <c r="S76" s="2">
        <v>-2316</v>
      </c>
      <c r="T76" s="2">
        <f>-2734-S76</f>
        <v>-418</v>
      </c>
      <c r="U76" s="2">
        <f>-5119-T76</f>
        <v>-4701</v>
      </c>
      <c r="V76" s="2">
        <f>AT76-U76</f>
        <v>-730</v>
      </c>
      <c r="W76">
        <v>-2591</v>
      </c>
      <c r="X76">
        <f>-2875-W76</f>
        <v>-284</v>
      </c>
      <c r="Y76">
        <f>-5163-W76-X76</f>
        <v>-2288</v>
      </c>
      <c r="Z76" s="2">
        <f>AU76-X76-Y76</f>
        <v>-2869</v>
      </c>
      <c r="AA76" s="2"/>
      <c r="AB76" s="2"/>
      <c r="AC76" s="2"/>
      <c r="AD76" s="2"/>
      <c r="AO76" s="2">
        <f>669-2527</f>
        <v>-1858</v>
      </c>
      <c r="AP76" s="2">
        <v>-2817</v>
      </c>
      <c r="AQ76" s="2">
        <v>-3634</v>
      </c>
      <c r="AR76" s="2">
        <v>-6556</v>
      </c>
      <c r="AS76" s="2">
        <v>-6223</v>
      </c>
      <c r="AT76" s="2">
        <v>-5431</v>
      </c>
      <c r="AU76" s="2">
        <v>-5441</v>
      </c>
      <c r="AV76" s="2">
        <f>AU76</f>
        <v>-5441</v>
      </c>
      <c r="AW76" s="2">
        <f t="shared" ref="AW76:AZ76" si="77">AV76</f>
        <v>-5441</v>
      </c>
      <c r="AX76" s="2">
        <f t="shared" si="77"/>
        <v>-5441</v>
      </c>
      <c r="AY76" s="2">
        <f t="shared" si="77"/>
        <v>-5441</v>
      </c>
      <c r="AZ76" s="2">
        <f t="shared" si="77"/>
        <v>-5441</v>
      </c>
      <c r="BA76" s="2"/>
    </row>
    <row r="77" spans="2:53" x14ac:dyDescent="0.25">
      <c r="B77" t="s">
        <v>56</v>
      </c>
      <c r="S77" s="2">
        <v>-3768</v>
      </c>
      <c r="T77" s="2">
        <f>-7418-S77</f>
        <v>-3650</v>
      </c>
      <c r="U77" s="2">
        <f>-11267-T77</f>
        <v>-7617</v>
      </c>
      <c r="V77" s="2">
        <f t="shared" ref="V77:V80" si="78">AT77-U77</f>
        <v>-7408</v>
      </c>
      <c r="W77">
        <v>-3825</v>
      </c>
      <c r="X77">
        <f>-7535-W77</f>
        <v>-3710</v>
      </c>
      <c r="Y77">
        <f>-11430-W77-X77</f>
        <v>-3895</v>
      </c>
      <c r="Z77" s="2">
        <f t="shared" ref="Z77:Z80" si="79">AU77-X77-Y77</f>
        <v>-7629</v>
      </c>
      <c r="AA77" s="2"/>
      <c r="AB77" s="2"/>
      <c r="AC77" s="2"/>
      <c r="AD77" s="2"/>
      <c r="AO77" s="2">
        <v>-13712</v>
      </c>
      <c r="AP77" s="2">
        <v>-14119</v>
      </c>
      <c r="AQ77" s="2">
        <v>-14081</v>
      </c>
      <c r="AR77" s="2">
        <v>-14467</v>
      </c>
      <c r="AS77" s="2">
        <v>-14841</v>
      </c>
      <c r="AT77" s="2">
        <v>-15025</v>
      </c>
      <c r="AU77" s="2">
        <v>-15234</v>
      </c>
      <c r="AV77" s="2">
        <f>-Asumptions!AV42</f>
        <v>-19117.574106835324</v>
      </c>
      <c r="AW77" s="2">
        <f>-Asumptions!AW42</f>
        <v>-19481.031732537507</v>
      </c>
      <c r="AX77" s="2">
        <f>-Asumptions!AX42</f>
        <v>-19877.132397909019</v>
      </c>
      <c r="AY77" s="2">
        <f>-Asumptions!AY42</f>
        <v>-20149.676247132149</v>
      </c>
      <c r="AZ77" s="2">
        <f>-Asumptions!AZ42</f>
        <v>-20440.508700762755</v>
      </c>
      <c r="BA77" s="2"/>
    </row>
    <row r="78" spans="2:53" x14ac:dyDescent="0.25">
      <c r="B78" t="s">
        <v>57</v>
      </c>
      <c r="S78" s="2">
        <v>-19475</v>
      </c>
      <c r="T78" s="2">
        <f>-39069-S78</f>
        <v>-19594</v>
      </c>
      <c r="U78" s="2">
        <f>-56547-T78</f>
        <v>-36953</v>
      </c>
      <c r="V78" s="2">
        <f t="shared" si="78"/>
        <v>-40597</v>
      </c>
      <c r="W78">
        <v>-20139</v>
      </c>
      <c r="X78">
        <f>-43344-W78</f>
        <v>-23205</v>
      </c>
      <c r="Y78">
        <f>-69866-W78-X78</f>
        <v>-26522</v>
      </c>
      <c r="Z78" s="2">
        <f t="shared" si="79"/>
        <v>-50222</v>
      </c>
      <c r="AA78" s="2"/>
      <c r="AB78" s="2"/>
      <c r="AC78" s="2"/>
      <c r="AD78" s="2"/>
      <c r="AO78" s="2">
        <v>-72738</v>
      </c>
      <c r="AP78" s="2">
        <f>-66897</f>
        <v>-66897</v>
      </c>
      <c r="AQ78" s="2">
        <v>-72358</v>
      </c>
      <c r="AR78" s="2">
        <v>-85971</v>
      </c>
      <c r="AS78" s="2">
        <f>-89402</f>
        <v>-89402</v>
      </c>
      <c r="AT78" s="2">
        <v>-77550</v>
      </c>
      <c r="AU78" s="2">
        <v>-99949</v>
      </c>
      <c r="AV78" s="2">
        <f>-Asumptions!AV43</f>
        <v>-95846</v>
      </c>
      <c r="AW78" s="2">
        <f>-Asumptions!AW43</f>
        <v>-95846</v>
      </c>
      <c r="AX78" s="2">
        <f>-Asumptions!AX43</f>
        <v>-95846</v>
      </c>
      <c r="AY78" s="2">
        <f>-Asumptions!AY43</f>
        <v>-95846</v>
      </c>
      <c r="AZ78" s="2">
        <f>-Asumptions!AZ43</f>
        <v>-95846</v>
      </c>
      <c r="BA78" s="2"/>
    </row>
    <row r="79" spans="2:53" x14ac:dyDescent="0.25">
      <c r="B79" t="s">
        <v>41</v>
      </c>
      <c r="S79" s="2">
        <f>-1401-8214</f>
        <v>-9615</v>
      </c>
      <c r="T79" s="2">
        <f>-3651-7960-S79</f>
        <v>-1996</v>
      </c>
      <c r="U79" s="2">
        <f>-11151-5971-T79</f>
        <v>-15126</v>
      </c>
      <c r="V79" s="2">
        <f t="shared" si="78"/>
        <v>-3</v>
      </c>
      <c r="W79">
        <v>-3984</v>
      </c>
      <c r="X79">
        <f>-3150-3982-W79</f>
        <v>-3148</v>
      </c>
      <c r="Y79">
        <f>-7400-2985-W79-X79</f>
        <v>-3253</v>
      </c>
      <c r="Z79" s="2">
        <f t="shared" si="79"/>
        <v>403</v>
      </c>
      <c r="AA79" s="2"/>
      <c r="AB79" s="2"/>
      <c r="AC79" s="2"/>
      <c r="AD79" s="2"/>
      <c r="AO79" s="2">
        <f>6969-6500</f>
        <v>469</v>
      </c>
      <c r="AP79" s="2">
        <f>-8805-5977</f>
        <v>-14782</v>
      </c>
      <c r="AQ79" s="2">
        <f>-12629-963</f>
        <v>-13592</v>
      </c>
      <c r="AR79" s="2">
        <f>-8750+1022</f>
        <v>-7728</v>
      </c>
      <c r="AS79" s="2">
        <f>-9543+3955</f>
        <v>-5588</v>
      </c>
      <c r="AT79" s="2">
        <f>-11151-3978</f>
        <v>-15129</v>
      </c>
      <c r="AU79" s="2">
        <f>-9958+3960</f>
        <v>-5998</v>
      </c>
      <c r="AV79" s="2">
        <f>AV55+AV77+AV78</f>
        <v>-19765.814106835329</v>
      </c>
      <c r="AW79" s="2">
        <f t="shared" ref="AW79:AZ79" si="80">AW55+AW77+AW78</f>
        <v>-7909.4677325375087</v>
      </c>
      <c r="AX79" s="2">
        <f t="shared" si="80"/>
        <v>4219.7307020909648</v>
      </c>
      <c r="AY79" s="2">
        <f t="shared" si="80"/>
        <v>16722.991934867838</v>
      </c>
      <c r="AZ79" s="2">
        <f t="shared" si="80"/>
        <v>29463.480664877221</v>
      </c>
      <c r="BA79" s="2"/>
    </row>
    <row r="80" spans="2:53" x14ac:dyDescent="0.25">
      <c r="B80" t="s">
        <v>49</v>
      </c>
      <c r="S80" s="2">
        <v>-389</v>
      </c>
      <c r="T80" s="2">
        <f>-455-S80</f>
        <v>-66</v>
      </c>
      <c r="U80" s="2">
        <f>-508-T80</f>
        <v>-442</v>
      </c>
      <c r="V80" s="2">
        <f t="shared" si="78"/>
        <v>-139</v>
      </c>
      <c r="W80">
        <v>-46</v>
      </c>
      <c r="X80">
        <f>-132-W80</f>
        <v>-86</v>
      </c>
      <c r="Y80">
        <f>-191-W80-X80</f>
        <v>-59</v>
      </c>
      <c r="Z80" s="2">
        <f t="shared" si="79"/>
        <v>-216</v>
      </c>
      <c r="AA80" s="2"/>
      <c r="AB80" s="2"/>
      <c r="AC80" s="2"/>
      <c r="AD80" s="2"/>
      <c r="AO80" s="2">
        <v>-37</v>
      </c>
      <c r="AP80" s="2">
        <v>-105</v>
      </c>
      <c r="AQ80" s="2">
        <v>-126</v>
      </c>
      <c r="AR80" s="2">
        <v>-129</v>
      </c>
      <c r="AS80" s="2">
        <v>-160</v>
      </c>
      <c r="AT80" s="2">
        <v>-581</v>
      </c>
      <c r="AU80" s="2">
        <v>-361</v>
      </c>
      <c r="AV80" s="2">
        <f>AU80</f>
        <v>-361</v>
      </c>
      <c r="AW80" s="2">
        <f t="shared" ref="AW80:AZ80" si="81">AV80</f>
        <v>-361</v>
      </c>
      <c r="AX80" s="2">
        <f t="shared" si="81"/>
        <v>-361</v>
      </c>
      <c r="AY80" s="2">
        <f t="shared" si="81"/>
        <v>-361</v>
      </c>
      <c r="AZ80" s="2">
        <f t="shared" si="81"/>
        <v>-361</v>
      </c>
      <c r="BA80" s="2"/>
    </row>
    <row r="81" spans="2:53" x14ac:dyDescent="0.25">
      <c r="B81" t="s">
        <v>58</v>
      </c>
      <c r="S81" s="2">
        <f>SUM(S76:S80)</f>
        <v>-35563</v>
      </c>
      <c r="T81" s="2">
        <f>SUM(T76:T80)</f>
        <v>-25724</v>
      </c>
      <c r="U81" s="2">
        <f t="shared" ref="U81:Z81" si="82">SUM(U76:U80)</f>
        <v>-64839</v>
      </c>
      <c r="V81" s="2">
        <f t="shared" si="82"/>
        <v>-48877</v>
      </c>
      <c r="W81" s="2">
        <f t="shared" si="82"/>
        <v>-30585</v>
      </c>
      <c r="X81" s="2">
        <f t="shared" si="82"/>
        <v>-30433</v>
      </c>
      <c r="Y81" s="2">
        <f t="shared" si="82"/>
        <v>-36017</v>
      </c>
      <c r="Z81" s="2">
        <f t="shared" si="82"/>
        <v>-60533</v>
      </c>
      <c r="AA81" s="2"/>
      <c r="AB81" s="2"/>
      <c r="AC81" s="2"/>
      <c r="AD81" s="2"/>
      <c r="AO81" s="2">
        <f>SUM(AO76:AO80)</f>
        <v>-87876</v>
      </c>
      <c r="AP81" s="2">
        <f t="shared" ref="AP81:AU81" si="83">SUM(AP76:AP80)</f>
        <v>-98720</v>
      </c>
      <c r="AQ81" s="2">
        <f>SUM(AQ76:AQ80)</f>
        <v>-103791</v>
      </c>
      <c r="AR81" s="2">
        <f t="shared" si="83"/>
        <v>-114851</v>
      </c>
      <c r="AS81" s="2">
        <f t="shared" si="83"/>
        <v>-116214</v>
      </c>
      <c r="AT81" s="2">
        <f t="shared" si="83"/>
        <v>-113716</v>
      </c>
      <c r="AU81" s="2">
        <f t="shared" si="83"/>
        <v>-126983</v>
      </c>
      <c r="AV81" s="2">
        <f t="shared" ref="AV81" si="84">SUM(AV76:AV80)</f>
        <v>-140531.38821367064</v>
      </c>
      <c r="AW81" s="2">
        <f t="shared" ref="AW81" si="85">SUM(AW76:AW80)</f>
        <v>-129038.49946507502</v>
      </c>
      <c r="AX81" s="2">
        <f t="shared" ref="AX81" si="86">SUM(AX76:AX80)</f>
        <v>-117305.40169581806</v>
      </c>
      <c r="AY81" s="2">
        <f t="shared" ref="AY81" si="87">SUM(AY76:AY80)</f>
        <v>-105074.68431226432</v>
      </c>
      <c r="AZ81" s="2">
        <f t="shared" ref="AZ81" si="88">SUM(AZ76:AZ80)</f>
        <v>-92625.028035885538</v>
      </c>
      <c r="BA81" s="2"/>
    </row>
    <row r="82" spans="2:53" x14ac:dyDescent="0.25">
      <c r="AA82" s="2"/>
      <c r="AB82" s="2"/>
      <c r="AC82" s="2"/>
      <c r="AD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2:53" x14ac:dyDescent="0.25">
      <c r="B83" t="s">
        <v>59</v>
      </c>
      <c r="S83" s="2">
        <f>S81+S74+S69</f>
        <v>-3003</v>
      </c>
      <c r="T83" s="2">
        <f>T81+T74+T69</f>
        <v>5155</v>
      </c>
      <c r="U83" s="2">
        <f t="shared" ref="U83:Z83" si="89">U81+U74+U69</f>
        <v>-52728</v>
      </c>
      <c r="V83" s="2">
        <f t="shared" si="89"/>
        <v>10373</v>
      </c>
      <c r="W83" s="2">
        <f t="shared" si="89"/>
        <v>16021</v>
      </c>
      <c r="X83" s="2">
        <f t="shared" si="89"/>
        <v>-12837</v>
      </c>
      <c r="Y83" s="2">
        <f t="shared" si="89"/>
        <v>-7152</v>
      </c>
      <c r="Z83" s="2">
        <f t="shared" si="89"/>
        <v>-32411</v>
      </c>
      <c r="AA83" s="2"/>
      <c r="AB83" s="2"/>
      <c r="AC83" s="2"/>
      <c r="AD83" s="2"/>
      <c r="AO83" s="2">
        <f>AO81+AO74+AO69</f>
        <v>34445</v>
      </c>
      <c r="AP83" s="2">
        <f t="shared" ref="AP83:AT83" si="90">AP81+AP74+AP69</f>
        <v>17532</v>
      </c>
      <c r="AQ83" s="2">
        <f t="shared" si="90"/>
        <v>-29272</v>
      </c>
      <c r="AR83" s="2">
        <f t="shared" si="90"/>
        <v>-27034</v>
      </c>
      <c r="AS83" s="2">
        <f t="shared" si="90"/>
        <v>-17793</v>
      </c>
      <c r="AT83" s="2">
        <f t="shared" si="90"/>
        <v>482</v>
      </c>
      <c r="AU83" s="2">
        <f>AU81+AU74+AU69</f>
        <v>-5794</v>
      </c>
      <c r="AV83" s="2">
        <f>(AV39+AV51)-(AU39+AU51)</f>
        <v>12109</v>
      </c>
      <c r="AW83" s="2">
        <f t="shared" ref="AW83:AZ83" si="91">(AW39+AW51)-(AV39+AV51)</f>
        <v>17994.87014866306</v>
      </c>
      <c r="AX83" s="2">
        <f t="shared" si="91"/>
        <v>20309.12985133694</v>
      </c>
      <c r="AY83" s="2">
        <f t="shared" si="91"/>
        <v>21654</v>
      </c>
      <c r="AZ83" s="2">
        <f t="shared" si="91"/>
        <v>23471</v>
      </c>
      <c r="BA83" s="2"/>
    </row>
    <row r="84" spans="2:53" x14ac:dyDescent="0.25">
      <c r="AA84" s="2"/>
      <c r="AB84" s="2"/>
      <c r="AC84" s="2"/>
      <c r="AD84" s="2"/>
      <c r="AV84" s="2"/>
      <c r="AW84" s="2"/>
      <c r="AX84" s="2"/>
      <c r="AY84" s="2"/>
      <c r="AZ84" s="2"/>
      <c r="BA84" s="2"/>
    </row>
    <row r="85" spans="2:53" s="1" customFormat="1" x14ac:dyDescent="0.25">
      <c r="B85" s="1" t="s">
        <v>94</v>
      </c>
      <c r="S85" s="3">
        <f>+S72+S69</f>
        <v>30218</v>
      </c>
      <c r="T85" s="3">
        <f t="shared" ref="T85:Z85" si="92">+T72+T69</f>
        <v>25644</v>
      </c>
      <c r="U85" s="3">
        <f t="shared" si="92"/>
        <v>7239</v>
      </c>
      <c r="V85" s="3">
        <f t="shared" si="92"/>
        <v>49458</v>
      </c>
      <c r="W85" s="3">
        <f t="shared" si="92"/>
        <v>42287</v>
      </c>
      <c r="X85" s="3">
        <f t="shared" si="92"/>
        <v>15910</v>
      </c>
      <c r="Y85" s="3">
        <f t="shared" si="92"/>
        <v>26841</v>
      </c>
      <c r="Z85" s="3">
        <f t="shared" si="92"/>
        <v>23769</v>
      </c>
      <c r="AA85" s="3"/>
      <c r="AB85" s="3"/>
      <c r="AC85" s="3"/>
      <c r="AD85" s="3"/>
      <c r="AO85" s="3">
        <f>+AO72+AO69</f>
        <v>92221</v>
      </c>
      <c r="AP85" s="3">
        <f t="shared" ref="AP85:AZ85" si="93">+AP72+AP69</f>
        <v>59237</v>
      </c>
      <c r="AQ85" s="3">
        <f t="shared" si="93"/>
        <v>69857</v>
      </c>
      <c r="AR85" s="3">
        <f t="shared" si="93"/>
        <v>91500</v>
      </c>
      <c r="AS85" s="3">
        <f t="shared" si="93"/>
        <v>109761</v>
      </c>
      <c r="AT85" s="3">
        <f t="shared" si="93"/>
        <v>99534</v>
      </c>
      <c r="AU85" s="3">
        <f t="shared" si="93"/>
        <v>108807</v>
      </c>
      <c r="AV85" s="3">
        <f>+AV72+AV69</f>
        <v>129869.25192525849</v>
      </c>
      <c r="AW85" s="3">
        <f t="shared" si="93"/>
        <v>132394.57435374096</v>
      </c>
      <c r="AX85" s="3">
        <f t="shared" si="93"/>
        <v>135202.4745118237</v>
      </c>
      <c r="AY85" s="3">
        <f t="shared" si="93"/>
        <v>137180.71245129639</v>
      </c>
      <c r="AZ85" s="3">
        <f t="shared" si="93"/>
        <v>139279.99146829487</v>
      </c>
      <c r="BA85" s="3"/>
    </row>
    <row r="86" spans="2:53" x14ac:dyDescent="0.25">
      <c r="AA86" s="2"/>
      <c r="AB86" s="2"/>
      <c r="AC86" s="2"/>
      <c r="AD86" s="2"/>
      <c r="AV86" s="2"/>
      <c r="AW86" s="2"/>
      <c r="AX86" s="2"/>
      <c r="AY86" s="2"/>
      <c r="AZ86" s="2"/>
      <c r="BA86" s="2"/>
    </row>
    <row r="87" spans="2:53" x14ac:dyDescent="0.25">
      <c r="AA87" s="2"/>
      <c r="AB87" s="2"/>
      <c r="AC87" s="2"/>
      <c r="AD87" s="2"/>
      <c r="AV87" s="2"/>
      <c r="AW87" s="2"/>
      <c r="AX87" s="2"/>
      <c r="AY87" s="2"/>
      <c r="AZ87" s="2"/>
      <c r="BA87" s="2"/>
    </row>
    <row r="88" spans="2:53" x14ac:dyDescent="0.25">
      <c r="AA88" s="2"/>
      <c r="AB88" s="2"/>
      <c r="AC88" s="2"/>
      <c r="AD88" s="2"/>
      <c r="AV88" s="2"/>
      <c r="AW88" s="2"/>
      <c r="AX88" s="2"/>
      <c r="AY88" s="2"/>
      <c r="AZ88" s="2"/>
      <c r="BA88" s="2"/>
    </row>
    <row r="89" spans="2:53" x14ac:dyDescent="0.25">
      <c r="AA89" s="2"/>
      <c r="AB89" s="2"/>
      <c r="AC89" s="2"/>
      <c r="AD89" s="2"/>
      <c r="AV89" s="2"/>
      <c r="AW89" s="2"/>
      <c r="AX89" s="2"/>
      <c r="AY89" s="2"/>
      <c r="AZ89" s="2"/>
      <c r="BA89" s="2"/>
    </row>
    <row r="90" spans="2:53" x14ac:dyDescent="0.25">
      <c r="AA90" s="2"/>
      <c r="AB90" s="2"/>
      <c r="AC90" s="2"/>
      <c r="AD90" s="2"/>
      <c r="AV90" s="2"/>
      <c r="AW90" s="2"/>
      <c r="AX90" s="2"/>
      <c r="AY90" s="2"/>
      <c r="AZ90" s="2"/>
      <c r="BA90" s="2"/>
    </row>
    <row r="91" spans="2:53" x14ac:dyDescent="0.25">
      <c r="AA91" s="2"/>
      <c r="AB91" s="2"/>
      <c r="AC91" s="2"/>
      <c r="AD91" s="2"/>
      <c r="AV91" s="2"/>
      <c r="AW91" s="2"/>
      <c r="AX91" s="2"/>
      <c r="AY91" s="2"/>
      <c r="AZ91" s="2"/>
      <c r="BA91" s="2"/>
    </row>
    <row r="92" spans="2:53" x14ac:dyDescent="0.25">
      <c r="AA92" s="2"/>
      <c r="AB92" s="2"/>
      <c r="AC92" s="2"/>
      <c r="AD92" s="2"/>
      <c r="AV92" s="2"/>
      <c r="AW92" s="2"/>
      <c r="AX92" s="2"/>
      <c r="AY92" s="2"/>
      <c r="AZ92" s="2"/>
      <c r="BA92" s="2"/>
    </row>
    <row r="93" spans="2:53" x14ac:dyDescent="0.25">
      <c r="AA93" s="2"/>
      <c r="AB93" s="2"/>
      <c r="AC93" s="2"/>
      <c r="AD93" s="2"/>
      <c r="AV93" s="2"/>
      <c r="AW93" s="2"/>
      <c r="AX93" s="2"/>
      <c r="AY93" s="2"/>
      <c r="AZ93" s="2"/>
      <c r="BA93" s="2"/>
    </row>
    <row r="94" spans="2:53" x14ac:dyDescent="0.25">
      <c r="AA94" s="2"/>
      <c r="AB94" s="2"/>
      <c r="AC94" s="2"/>
      <c r="AD94" s="2"/>
      <c r="AV94" s="2"/>
      <c r="AW94" s="2"/>
      <c r="AX94" s="2"/>
      <c r="AY94" s="2"/>
      <c r="AZ94" s="2"/>
      <c r="BA94" s="2"/>
    </row>
    <row r="95" spans="2:53" x14ac:dyDescent="0.25">
      <c r="AV95" s="2"/>
      <c r="AW95" s="2"/>
      <c r="AX95" s="2"/>
      <c r="AY95" s="2"/>
      <c r="AZ95" s="2"/>
      <c r="BA95" s="2"/>
    </row>
    <row r="96" spans="2:53" x14ac:dyDescent="0.25">
      <c r="AV96" s="2"/>
      <c r="AW96" s="2"/>
      <c r="AX96" s="2"/>
      <c r="AY96" s="2"/>
      <c r="AZ96" s="2"/>
      <c r="BA96" s="2"/>
    </row>
    <row r="97" spans="48:53" x14ac:dyDescent="0.25">
      <c r="AV97" s="2"/>
      <c r="AW97" s="2"/>
      <c r="AX97" s="2"/>
      <c r="AY97" s="2"/>
      <c r="AZ97" s="2"/>
      <c r="BA97" s="2"/>
    </row>
    <row r="98" spans="48:53" x14ac:dyDescent="0.25">
      <c r="AV98" s="2"/>
      <c r="AW98" s="2"/>
      <c r="AX98" s="2"/>
      <c r="AY98" s="2"/>
      <c r="AZ98" s="2"/>
      <c r="BA98" s="2"/>
    </row>
    <row r="99" spans="48:53" x14ac:dyDescent="0.25">
      <c r="AV99" s="2"/>
      <c r="AW99" s="2"/>
      <c r="AX99" s="2"/>
      <c r="AY99" s="2"/>
      <c r="AZ99" s="2"/>
      <c r="BA99" s="2"/>
    </row>
    <row r="100" spans="48:53" x14ac:dyDescent="0.25">
      <c r="AV100" s="2"/>
      <c r="AW100" s="2"/>
      <c r="AX100" s="2"/>
      <c r="AY100" s="2"/>
      <c r="AZ100" s="2"/>
      <c r="BA100" s="2"/>
    </row>
  </sheetData>
  <pageMargins left="0.7" right="0.7" top="0.75" bottom="0.75" header="0.3" footer="0.3"/>
  <ignoredErrors>
    <ignoredError sqref="AV31 AV21 AV19 AV44 AV51:AZ51 AV72:AZ72 AW44:AZ44" formula="1"/>
  </ignoredErrors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4719-3023-4132-8425-7CB949102319}">
  <dimension ref="A1:V26"/>
  <sheetViews>
    <sheetView tabSelected="1" workbookViewId="0">
      <selection activeCell="H15" sqref="H15"/>
    </sheetView>
  </sheetViews>
  <sheetFormatPr defaultRowHeight="15" x14ac:dyDescent="0.25"/>
  <cols>
    <col min="2" max="2" width="27.7109375" customWidth="1"/>
    <col min="3" max="3" width="9.85546875" customWidth="1"/>
    <col min="4" max="4" width="2.28515625" customWidth="1"/>
    <col min="8" max="8" width="10.5703125" bestFit="1" customWidth="1"/>
  </cols>
  <sheetData>
    <row r="1" spans="1:22" x14ac:dyDescent="0.25">
      <c r="A1" s="10" t="s">
        <v>153</v>
      </c>
    </row>
    <row r="3" spans="1:22" x14ac:dyDescent="0.25">
      <c r="B3" t="s">
        <v>152</v>
      </c>
    </row>
    <row r="4" spans="1:22" x14ac:dyDescent="0.25">
      <c r="B4" t="s">
        <v>108</v>
      </c>
      <c r="F4">
        <v>2013</v>
      </c>
      <c r="G4">
        <v>2014</v>
      </c>
      <c r="H4">
        <v>2015</v>
      </c>
      <c r="I4">
        <v>2016</v>
      </c>
      <c r="J4">
        <v>2017</v>
      </c>
      <c r="K4">
        <v>2018</v>
      </c>
      <c r="L4">
        <v>2019</v>
      </c>
      <c r="M4">
        <v>2020</v>
      </c>
      <c r="N4">
        <v>2021</v>
      </c>
      <c r="O4">
        <v>2022</v>
      </c>
      <c r="P4">
        <v>2023</v>
      </c>
      <c r="Q4" s="19">
        <v>2024</v>
      </c>
      <c r="R4" s="19" t="s">
        <v>109</v>
      </c>
      <c r="S4" s="19" t="s">
        <v>110</v>
      </c>
      <c r="T4" s="19" t="s">
        <v>111</v>
      </c>
      <c r="U4" s="19" t="s">
        <v>112</v>
      </c>
      <c r="V4" s="19" t="s">
        <v>113</v>
      </c>
    </row>
    <row r="5" spans="1:22" x14ac:dyDescent="0.25">
      <c r="B5" t="s">
        <v>114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f>FSM!AV85</f>
        <v>129869.25192525849</v>
      </c>
      <c r="S5" s="2">
        <f>FSM!AW85</f>
        <v>132394.57435374096</v>
      </c>
      <c r="T5" s="2">
        <f>FSM!AX85</f>
        <v>135202.4745118237</v>
      </c>
      <c r="U5" s="2">
        <f>FSM!AY85</f>
        <v>137180.71245129639</v>
      </c>
      <c r="V5" s="2">
        <f>FSM!AZ85</f>
        <v>139279.99146829487</v>
      </c>
    </row>
    <row r="7" spans="1:22" x14ac:dyDescent="0.25">
      <c r="B7" t="s">
        <v>115</v>
      </c>
      <c r="R7">
        <v>1</v>
      </c>
      <c r="S7">
        <v>2</v>
      </c>
      <c r="T7">
        <v>3</v>
      </c>
      <c r="U7">
        <v>4</v>
      </c>
      <c r="V7">
        <v>5</v>
      </c>
    </row>
    <row r="8" spans="1:22" x14ac:dyDescent="0.25">
      <c r="B8" s="17" t="s">
        <v>116</v>
      </c>
      <c r="C8" s="18"/>
      <c r="D8" s="18"/>
      <c r="E8" s="18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  <c r="R8" s="21">
        <f>R5/(1+$H$15)^R7</f>
        <v>109902.71366084796</v>
      </c>
      <c r="S8" s="21">
        <f t="shared" ref="S8:V8" si="0">S5/(1+$H$15)^S7</f>
        <v>94814.408869528808</v>
      </c>
      <c r="T8" s="21">
        <f t="shared" si="0"/>
        <v>81939.039975357795</v>
      </c>
      <c r="U8" s="21">
        <f t="shared" si="0"/>
        <v>70356.035946752178</v>
      </c>
      <c r="V8" s="21">
        <f t="shared" si="0"/>
        <v>60450.391324550168</v>
      </c>
    </row>
    <row r="11" spans="1:22" x14ac:dyDescent="0.25">
      <c r="B11" t="s">
        <v>97</v>
      </c>
      <c r="C11" s="2">
        <v>3520000</v>
      </c>
      <c r="E11" s="39" t="s">
        <v>117</v>
      </c>
      <c r="F11" s="39"/>
      <c r="G11" s="39"/>
      <c r="H11" s="39"/>
      <c r="L11" s="40" t="s">
        <v>118</v>
      </c>
      <c r="M11" s="40"/>
      <c r="N11" s="40"/>
      <c r="O11" s="40"/>
      <c r="P11" s="40"/>
      <c r="Q11" s="40"/>
      <c r="R11" s="40"/>
    </row>
    <row r="12" spans="1:22" x14ac:dyDescent="0.25">
      <c r="B12" t="s">
        <v>41</v>
      </c>
      <c r="C12" s="2">
        <f>FSM!AU51</f>
        <v>106629</v>
      </c>
      <c r="E12" t="s">
        <v>119</v>
      </c>
      <c r="H12" s="12">
        <f>H18/FSM!AU29</f>
        <v>29.64460636737471</v>
      </c>
    </row>
    <row r="13" spans="1:22" x14ac:dyDescent="0.25">
      <c r="E13" t="s">
        <v>120</v>
      </c>
      <c r="H13" s="2">
        <f>SUM(R8:V8)</f>
        <v>417462.58977703692</v>
      </c>
      <c r="N13" s="40" t="s">
        <v>121</v>
      </c>
      <c r="O13" s="40"/>
      <c r="P13" s="40"/>
      <c r="Q13" s="40"/>
      <c r="R13" s="40"/>
    </row>
    <row r="14" spans="1:22" ht="15" customHeight="1" x14ac:dyDescent="0.25">
      <c r="B14" t="s">
        <v>98</v>
      </c>
      <c r="C14" s="27">
        <f>FSM!AU30/C12</f>
        <v>2.5227658516913786E-3</v>
      </c>
      <c r="E14" t="s">
        <v>122</v>
      </c>
      <c r="H14" s="22">
        <v>0.16</v>
      </c>
      <c r="M14" s="45">
        <f>H22</f>
        <v>240.31093056609828</v>
      </c>
      <c r="N14" s="23">
        <f>+O14-0.005</f>
        <v>0.15</v>
      </c>
      <c r="O14" s="23">
        <f>+P14-0.005</f>
        <v>0.155</v>
      </c>
      <c r="P14" s="23">
        <v>0.16</v>
      </c>
      <c r="Q14" s="23">
        <f>+P14+0.005</f>
        <v>0.16500000000000001</v>
      </c>
      <c r="R14" s="23">
        <f>+Q14+0.005</f>
        <v>0.17</v>
      </c>
    </row>
    <row r="15" spans="1:22" ht="15" customHeight="1" x14ac:dyDescent="0.25">
      <c r="B15" t="s">
        <v>31</v>
      </c>
      <c r="C15" s="27">
        <f>Asumptions!AU15</f>
        <v>0.24091185164189982</v>
      </c>
      <c r="E15" t="s">
        <v>107</v>
      </c>
      <c r="H15" s="22">
        <f>C26</f>
        <v>0.18167466115555475</v>
      </c>
      <c r="L15" s="41" t="s">
        <v>107</v>
      </c>
      <c r="M15" s="23">
        <f>+M16-0.005</f>
        <v>0.17369999999999999</v>
      </c>
      <c r="N15" s="45">
        <f t="dataTable" ref="N15:R19" dt2D="1" dtr="1" r1="H14" r2="H15"/>
        <v>227.76982794873857</v>
      </c>
      <c r="O15" s="45">
        <v>281.50938657747605</v>
      </c>
      <c r="P15" s="45">
        <v>374.47490040967159</v>
      </c>
      <c r="Q15" s="45">
        <v>574.29732669266684</v>
      </c>
      <c r="R15" s="45">
        <v>1314.1803645513282</v>
      </c>
    </row>
    <row r="16" spans="1:22" x14ac:dyDescent="0.25">
      <c r="B16" t="s">
        <v>99</v>
      </c>
      <c r="C16" s="27">
        <f>C12/SUM(C11:C12)</f>
        <v>2.9401684043225816E-2</v>
      </c>
      <c r="E16" t="s">
        <v>123</v>
      </c>
      <c r="H16" s="12">
        <f>V5*(1+H14)/(H15-H14)</f>
        <v>7454086.0843776781</v>
      </c>
      <c r="L16" s="41"/>
      <c r="M16" s="23">
        <f>+M17-0.005</f>
        <v>0.1787</v>
      </c>
      <c r="N16" s="45">
        <v>189.72541111257996</v>
      </c>
      <c r="O16" s="46">
        <v>224.1500259004205</v>
      </c>
      <c r="P16" s="46">
        <v>276.98352560154473</v>
      </c>
      <c r="Q16" s="46">
        <v>368.38162362465766</v>
      </c>
      <c r="R16" s="45">
        <v>564.83500673180845</v>
      </c>
    </row>
    <row r="17" spans="2:18" x14ac:dyDescent="0.25">
      <c r="B17" s="17" t="s">
        <v>100</v>
      </c>
      <c r="C17" s="43">
        <f>C14*(1-C15)</f>
        <v>1.9150016591014543E-3</v>
      </c>
      <c r="E17" t="s">
        <v>124</v>
      </c>
      <c r="H17" s="2">
        <f>H16/(1+H15)^V7</f>
        <v>3235227.2283854051</v>
      </c>
      <c r="L17" s="41"/>
      <c r="M17" s="23">
        <v>0.1837</v>
      </c>
      <c r="N17" s="45">
        <v>162.95530679548875</v>
      </c>
      <c r="O17" s="46">
        <v>186.75843731664492</v>
      </c>
      <c r="P17" s="47">
        <v>220.60508282563069</v>
      </c>
      <c r="Q17" s="46">
        <v>272.5515387672292</v>
      </c>
      <c r="R17" s="45">
        <v>362.41511583408214</v>
      </c>
    </row>
    <row r="18" spans="2:18" x14ac:dyDescent="0.25">
      <c r="E18" t="s">
        <v>125</v>
      </c>
      <c r="H18" s="2">
        <f>H17+H13</f>
        <v>3652689.8181624422</v>
      </c>
      <c r="L18" s="41"/>
      <c r="M18" s="23">
        <f>+M17+0.005</f>
        <v>0.18870000000000001</v>
      </c>
      <c r="N18" s="45">
        <v>143.0899043555394</v>
      </c>
      <c r="O18" s="46">
        <v>160.44721952531509</v>
      </c>
      <c r="P18" s="46">
        <v>183.85237970198125</v>
      </c>
      <c r="Q18" s="46">
        <v>217.13313488989894</v>
      </c>
      <c r="R18" s="45">
        <v>268.2110853654732</v>
      </c>
    </row>
    <row r="19" spans="2:18" x14ac:dyDescent="0.25">
      <c r="B19" t="s">
        <v>101</v>
      </c>
      <c r="C19" s="42">
        <v>4.7E-2</v>
      </c>
      <c r="E19" t="s">
        <v>151</v>
      </c>
      <c r="H19" s="24">
        <f>FSM!AU38</f>
        <v>50021</v>
      </c>
      <c r="L19" s="41"/>
      <c r="M19" s="23">
        <f>+M18+0.005</f>
        <v>0.19370000000000001</v>
      </c>
      <c r="N19" s="45">
        <v>127.75940848428954</v>
      </c>
      <c r="O19" s="45">
        <v>140.92193589511669</v>
      </c>
      <c r="P19" s="45">
        <v>157.99025778986879</v>
      </c>
      <c r="Q19" s="45">
        <v>181.0057301705973</v>
      </c>
      <c r="R19" s="45">
        <v>213.73237233222386</v>
      </c>
    </row>
    <row r="20" spans="2:18" x14ac:dyDescent="0.25">
      <c r="B20" t="s">
        <v>102</v>
      </c>
      <c r="C20" s="42">
        <v>0.16</v>
      </c>
      <c r="E20" s="17" t="s">
        <v>126</v>
      </c>
      <c r="F20" s="18"/>
      <c r="G20" s="18"/>
      <c r="H20" s="21">
        <f>H18+H19</f>
        <v>3702710.8181624422</v>
      </c>
    </row>
    <row r="21" spans="2:18" x14ac:dyDescent="0.25">
      <c r="B21" t="s">
        <v>103</v>
      </c>
      <c r="C21" s="42">
        <f>C20-C19</f>
        <v>0.113</v>
      </c>
      <c r="E21" s="1" t="s">
        <v>127</v>
      </c>
      <c r="H21" s="3">
        <f>FSM!AU35</f>
        <v>15408</v>
      </c>
    </row>
    <row r="22" spans="2:18" x14ac:dyDescent="0.25">
      <c r="B22" t="s">
        <v>104</v>
      </c>
      <c r="C22">
        <v>1.24</v>
      </c>
      <c r="E22" s="25" t="s">
        <v>117</v>
      </c>
      <c r="F22" s="26"/>
      <c r="G22" s="26"/>
      <c r="H22" s="44">
        <f>H20/H21</f>
        <v>240.31093056609828</v>
      </c>
    </row>
    <row r="23" spans="2:18" x14ac:dyDescent="0.25">
      <c r="B23" t="s">
        <v>105</v>
      </c>
      <c r="C23" s="27">
        <f>C11/SUM(C11:C12)</f>
        <v>0.97059831595677415</v>
      </c>
    </row>
    <row r="24" spans="2:18" x14ac:dyDescent="0.25">
      <c r="B24" s="17" t="s">
        <v>106</v>
      </c>
      <c r="C24" s="43">
        <f>C19+C22*(C21)</f>
        <v>0.18712000000000001</v>
      </c>
    </row>
    <row r="25" spans="2:18" x14ac:dyDescent="0.25">
      <c r="B25" s="1"/>
    </row>
    <row r="26" spans="2:18" x14ac:dyDescent="0.25">
      <c r="B26" s="17" t="s">
        <v>107</v>
      </c>
      <c r="C26" s="43">
        <f>C17*C16+C24*C23</f>
        <v>0.18167466115555475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Asumptions</vt:lpstr>
      <vt:lpstr>FSM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Dantas Jr</dc:creator>
  <cp:lastModifiedBy>Daniel Dantas Jr</cp:lastModifiedBy>
  <dcterms:created xsi:type="dcterms:W3CDTF">2024-11-29T16:39:35Z</dcterms:created>
  <dcterms:modified xsi:type="dcterms:W3CDTF">2025-01-16T11:19:23Z</dcterms:modified>
</cp:coreProperties>
</file>