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4d300fcf58872a0/Investment Research/"/>
    </mc:Choice>
  </mc:AlternateContent>
  <xr:revisionPtr revIDLastSave="2746" documentId="8_{CBE7F31E-587F-4C88-B3B5-E25C248D3505}" xr6:coauthVersionLast="47" xr6:coauthVersionMax="47" xr10:uidLastSave="{7F46A17D-08FB-45F8-B352-B4A643A6F760}"/>
  <bookViews>
    <workbookView xWindow="3390" yWindow="2940" windowWidth="43980" windowHeight="18030" activeTab="3" xr2:uid="{16B0C4A1-6E7A-47B4-8FD6-B5FAF4417BD3}"/>
  </bookViews>
  <sheets>
    <sheet name="Overview" sheetId="1" r:id="rId1"/>
    <sheet name="Model" sheetId="2" r:id="rId2"/>
    <sheet name="WACC" sheetId="4" r:id="rId3"/>
    <sheet name="DC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6" i="2" l="1"/>
  <c r="AQ76" i="2"/>
  <c r="Y77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E18" i="3"/>
  <c r="E15" i="3"/>
  <c r="AQ72" i="2"/>
  <c r="Q5" i="3"/>
  <c r="R5" i="3"/>
  <c r="S5" i="3"/>
  <c r="T5" i="3"/>
  <c r="U5" i="3"/>
  <c r="V5" i="3"/>
  <c r="E22" i="3"/>
  <c r="V24" i="2"/>
  <c r="K13" i="3"/>
  <c r="L13" i="3"/>
  <c r="O13" i="3"/>
  <c r="N13" i="3"/>
  <c r="M13" i="3"/>
  <c r="J14" i="3"/>
  <c r="J15" i="3"/>
  <c r="J18" i="3"/>
  <c r="J17" i="3"/>
  <c r="C16" i="4"/>
  <c r="C13" i="4"/>
  <c r="C4" i="4"/>
  <c r="Y43" i="2"/>
  <c r="AM10" i="2"/>
  <c r="AM11" i="2" s="1"/>
  <c r="AN10" i="2"/>
  <c r="AN11" i="2" s="1"/>
  <c r="AO10" i="2"/>
  <c r="AO11" i="2" s="1"/>
  <c r="AH10" i="2"/>
  <c r="AH11" i="2" s="1"/>
  <c r="AI10" i="2"/>
  <c r="AI11" i="2" s="1"/>
  <c r="AJ10" i="2"/>
  <c r="AJ11" i="2" s="1"/>
  <c r="AK10" i="2"/>
  <c r="AK11" i="2" s="1"/>
  <c r="AL10" i="2"/>
  <c r="AL11" i="2" s="1"/>
  <c r="AG10" i="2"/>
  <c r="AG11" i="2" s="1"/>
  <c r="AN4" i="2"/>
  <c r="AN5" i="2" s="1"/>
  <c r="AO4" i="2"/>
  <c r="AO5" i="2" s="1"/>
  <c r="AM4" i="2"/>
  <c r="AM5" i="2" s="1"/>
  <c r="AQ6" i="2"/>
  <c r="AP7" i="2"/>
  <c r="AQ7" i="2"/>
  <c r="AR31" i="2"/>
  <c r="AR27" i="2"/>
  <c r="AR28" i="2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T75" i="2"/>
  <c r="U75" i="2" s="1"/>
  <c r="V75" i="2" s="1"/>
  <c r="S72" i="2"/>
  <c r="T72" i="2" s="1"/>
  <c r="T70" i="2"/>
  <c r="T69" i="2"/>
  <c r="T68" i="2"/>
  <c r="T67" i="2"/>
  <c r="T66" i="2"/>
  <c r="T65" i="2"/>
  <c r="V29" i="2"/>
  <c r="U38" i="2"/>
  <c r="U29" i="2"/>
  <c r="U26" i="2"/>
  <c r="Z73" i="2"/>
  <c r="AA73" i="2"/>
  <c r="AA76" i="2" s="1"/>
  <c r="AE73" i="2"/>
  <c r="AF73" i="2"/>
  <c r="AG73" i="2"/>
  <c r="AH73" i="2"/>
  <c r="AI73" i="2"/>
  <c r="AJ73" i="2"/>
  <c r="AK73" i="2"/>
  <c r="AL73" i="2"/>
  <c r="AM73" i="2"/>
  <c r="Y73" i="2"/>
  <c r="Z76" i="2"/>
  <c r="AE76" i="2"/>
  <c r="AF76" i="2"/>
  <c r="AG76" i="2"/>
  <c r="AH76" i="2"/>
  <c r="AI76" i="2"/>
  <c r="AJ76" i="2"/>
  <c r="AK76" i="2"/>
  <c r="AL76" i="2"/>
  <c r="AM76" i="2"/>
  <c r="J5" i="1"/>
  <c r="J8" i="1" s="1"/>
  <c r="AO72" i="2"/>
  <c r="AO73" i="2" s="1"/>
  <c r="AO76" i="2" s="1"/>
  <c r="AC70" i="2"/>
  <c r="AC73" i="2" s="1"/>
  <c r="AC76" i="2" s="1"/>
  <c r="AD70" i="2"/>
  <c r="AD73" i="2" s="1"/>
  <c r="AD76" i="2" s="1"/>
  <c r="AB70" i="2"/>
  <c r="AB73" i="2" s="1"/>
  <c r="AB76" i="2" s="1"/>
  <c r="F56" i="2"/>
  <c r="F57" i="2"/>
  <c r="F58" i="2"/>
  <c r="F60" i="2"/>
  <c r="F61" i="2"/>
  <c r="J56" i="2"/>
  <c r="J57" i="2"/>
  <c r="J58" i="2"/>
  <c r="J60" i="2"/>
  <c r="J61" i="2"/>
  <c r="N56" i="2"/>
  <c r="N57" i="2"/>
  <c r="N58" i="2"/>
  <c r="N60" i="2"/>
  <c r="N61" i="2"/>
  <c r="R56" i="2"/>
  <c r="R57" i="2"/>
  <c r="R58" i="2"/>
  <c r="R60" i="2"/>
  <c r="R61" i="2"/>
  <c r="AP72" i="2"/>
  <c r="AP73" i="2" s="1"/>
  <c r="AQ59" i="2"/>
  <c r="R59" i="2" s="1"/>
  <c r="AP59" i="2"/>
  <c r="N59" i="2" s="1"/>
  <c r="AO59" i="2"/>
  <c r="J59" i="2" s="1"/>
  <c r="AN59" i="2"/>
  <c r="F59" i="2" s="1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S62" i="2"/>
  <c r="Z55" i="2"/>
  <c r="Z62" i="2" s="1"/>
  <c r="Y55" i="2"/>
  <c r="Y62" i="2" s="1"/>
  <c r="AA55" i="2"/>
  <c r="AA62" i="2" s="1"/>
  <c r="AB55" i="2"/>
  <c r="AB62" i="2" s="1"/>
  <c r="AC55" i="2"/>
  <c r="AC62" i="2" s="1"/>
  <c r="AD55" i="2"/>
  <c r="AD62" i="2" s="1"/>
  <c r="AE55" i="2"/>
  <c r="AE62" i="2" s="1"/>
  <c r="AF55" i="2"/>
  <c r="AF62" i="2" s="1"/>
  <c r="AG55" i="2"/>
  <c r="AG62" i="2" s="1"/>
  <c r="AH55" i="2"/>
  <c r="AH62" i="2" s="1"/>
  <c r="AI55" i="2"/>
  <c r="AI62" i="2" s="1"/>
  <c r="AJ55" i="2"/>
  <c r="AJ62" i="2" s="1"/>
  <c r="AK55" i="2"/>
  <c r="AK62" i="2" s="1"/>
  <c r="AL55" i="2"/>
  <c r="AL62" i="2" s="1"/>
  <c r="AM55" i="2"/>
  <c r="AM62" i="2" s="1"/>
  <c r="AN55" i="2"/>
  <c r="AO55" i="2"/>
  <c r="AP55" i="2"/>
  <c r="AQ55" i="2"/>
  <c r="E19" i="3" s="1"/>
  <c r="F47" i="2"/>
  <c r="F48" i="2"/>
  <c r="F49" i="2"/>
  <c r="F50" i="2"/>
  <c r="F51" i="2"/>
  <c r="J47" i="2"/>
  <c r="J48" i="2"/>
  <c r="J50" i="2"/>
  <c r="J51" i="2"/>
  <c r="N47" i="2"/>
  <c r="N48" i="2"/>
  <c r="N50" i="2"/>
  <c r="N51" i="2"/>
  <c r="N52" i="2"/>
  <c r="R47" i="2"/>
  <c r="R48" i="2"/>
  <c r="R50" i="2"/>
  <c r="R51" i="2"/>
  <c r="R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O52" i="2"/>
  <c r="J52" i="2" s="1"/>
  <c r="AO49" i="2"/>
  <c r="J49" i="2" s="1"/>
  <c r="AN52" i="2"/>
  <c r="F52" i="2" s="1"/>
  <c r="AP49" i="2"/>
  <c r="N49" i="2" s="1"/>
  <c r="AQ49" i="2"/>
  <c r="R49" i="2" s="1"/>
  <c r="Y46" i="2"/>
  <c r="Y53" i="2" s="1"/>
  <c r="Z46" i="2"/>
  <c r="Z53" i="2" s="1"/>
  <c r="AA46" i="2"/>
  <c r="AA53" i="2" s="1"/>
  <c r="AB46" i="2"/>
  <c r="AB53" i="2" s="1"/>
  <c r="AC46" i="2"/>
  <c r="AC53" i="2" s="1"/>
  <c r="AD46" i="2"/>
  <c r="AD53" i="2" s="1"/>
  <c r="AE46" i="2"/>
  <c r="AE53" i="2" s="1"/>
  <c r="AF46" i="2"/>
  <c r="AF53" i="2" s="1"/>
  <c r="AG46" i="2"/>
  <c r="AG53" i="2" s="1"/>
  <c r="AH46" i="2"/>
  <c r="AH53" i="2" s="1"/>
  <c r="AI46" i="2"/>
  <c r="AI53" i="2" s="1"/>
  <c r="AJ46" i="2"/>
  <c r="AJ53" i="2" s="1"/>
  <c r="AK46" i="2"/>
  <c r="AK53" i="2" s="1"/>
  <c r="AL46" i="2"/>
  <c r="AL53" i="2" s="1"/>
  <c r="AM46" i="2"/>
  <c r="AM53" i="2" s="1"/>
  <c r="AN46" i="2"/>
  <c r="AO46" i="2"/>
  <c r="AP46" i="2"/>
  <c r="AQ46" i="2"/>
  <c r="AQ45" i="2" s="1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Z13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A39" i="2"/>
  <c r="AN72" i="2"/>
  <c r="AN73" i="2" s="1"/>
  <c r="AN76" i="2" s="1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Z38" i="2"/>
  <c r="N38" i="2"/>
  <c r="G16" i="2"/>
  <c r="H16" i="2"/>
  <c r="I16" i="2"/>
  <c r="M60" i="2"/>
  <c r="M55" i="2"/>
  <c r="L60" i="2"/>
  <c r="L55" i="2"/>
  <c r="K60" i="2"/>
  <c r="K55" i="2"/>
  <c r="I60" i="2"/>
  <c r="I55" i="2"/>
  <c r="H60" i="2"/>
  <c r="H55" i="2"/>
  <c r="G55" i="2"/>
  <c r="G60" i="2"/>
  <c r="E55" i="2"/>
  <c r="E60" i="2"/>
  <c r="D60" i="2"/>
  <c r="D62" i="2" s="1"/>
  <c r="G62" i="2"/>
  <c r="C60" i="2"/>
  <c r="C55" i="2"/>
  <c r="C62" i="2" s="1"/>
  <c r="O60" i="2"/>
  <c r="O55" i="2"/>
  <c r="P55" i="2"/>
  <c r="H62" i="2"/>
  <c r="I62" i="2"/>
  <c r="K62" i="2"/>
  <c r="L62" i="2"/>
  <c r="M62" i="2"/>
  <c r="O62" i="2"/>
  <c r="Q55" i="2"/>
  <c r="S45" i="2"/>
  <c r="E62" i="2"/>
  <c r="T46" i="2"/>
  <c r="T45" i="2" s="1"/>
  <c r="E53" i="2"/>
  <c r="L53" i="2"/>
  <c r="K45" i="2"/>
  <c r="D53" i="2"/>
  <c r="I53" i="2"/>
  <c r="K53" i="2"/>
  <c r="M53" i="2"/>
  <c r="O53" i="2"/>
  <c r="P53" i="2"/>
  <c r="Q53" i="2"/>
  <c r="S53" i="2"/>
  <c r="T53" i="2"/>
  <c r="D45" i="2"/>
  <c r="E45" i="2"/>
  <c r="I45" i="2"/>
  <c r="L45" i="2"/>
  <c r="M45" i="2"/>
  <c r="O45" i="2"/>
  <c r="AQ33" i="2"/>
  <c r="AQ31" i="2"/>
  <c r="C6" i="4" s="1"/>
  <c r="AQ28" i="2"/>
  <c r="AQ27" i="2"/>
  <c r="Z26" i="2"/>
  <c r="AA26" i="2"/>
  <c r="AA41" i="2" s="1"/>
  <c r="AB26" i="2"/>
  <c r="AB41" i="2" s="1"/>
  <c r="AC26" i="2"/>
  <c r="AC41" i="2" s="1"/>
  <c r="AD26" i="2"/>
  <c r="AE26" i="2"/>
  <c r="AE41" i="2" s="1"/>
  <c r="AF26" i="2"/>
  <c r="AF41" i="2" s="1"/>
  <c r="AG26" i="2"/>
  <c r="AG41" i="2" s="1"/>
  <c r="AH26" i="2"/>
  <c r="AH41" i="2" s="1"/>
  <c r="AI26" i="2"/>
  <c r="AJ26" i="2"/>
  <c r="AJ41" i="2" s="1"/>
  <c r="AK26" i="2"/>
  <c r="AK41" i="2" s="1"/>
  <c r="AL26" i="2"/>
  <c r="AL41" i="2" s="1"/>
  <c r="AM26" i="2"/>
  <c r="AM41" i="2" s="1"/>
  <c r="AN26" i="2"/>
  <c r="AN41" i="2" s="1"/>
  <c r="AO26" i="2"/>
  <c r="AO41" i="2" s="1"/>
  <c r="AP26" i="2"/>
  <c r="AP41" i="2" s="1"/>
  <c r="Y26" i="2"/>
  <c r="Y41" i="2" s="1"/>
  <c r="AQ25" i="2"/>
  <c r="AQ24" i="2"/>
  <c r="AQ36" i="2"/>
  <c r="Y34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Y29" i="2"/>
  <c r="G38" i="2"/>
  <c r="F24" i="2"/>
  <c r="H38" i="2"/>
  <c r="I38" i="2"/>
  <c r="K38" i="2"/>
  <c r="L38" i="2"/>
  <c r="M38" i="2"/>
  <c r="O38" i="2"/>
  <c r="P38" i="2"/>
  <c r="D26" i="2"/>
  <c r="E26" i="2"/>
  <c r="G26" i="2"/>
  <c r="G41" i="2" s="1"/>
  <c r="H26" i="2"/>
  <c r="H41" i="2" s="1"/>
  <c r="I26" i="2"/>
  <c r="I41" i="2" s="1"/>
  <c r="J26" i="2"/>
  <c r="K26" i="2"/>
  <c r="K41" i="2" s="1"/>
  <c r="L26" i="2"/>
  <c r="L41" i="2" s="1"/>
  <c r="M26" i="2"/>
  <c r="M41" i="2" s="1"/>
  <c r="N26" i="2"/>
  <c r="N41" i="2" s="1"/>
  <c r="O26" i="2"/>
  <c r="O41" i="2" s="1"/>
  <c r="P26" i="2"/>
  <c r="Q26" i="2"/>
  <c r="R26" i="2"/>
  <c r="S26" i="2"/>
  <c r="T26" i="2"/>
  <c r="C26" i="2"/>
  <c r="C41" i="2" s="1"/>
  <c r="R38" i="2"/>
  <c r="S38" i="2"/>
  <c r="T38" i="2"/>
  <c r="Q38" i="2"/>
  <c r="M29" i="2"/>
  <c r="D29" i="2"/>
  <c r="E29" i="2"/>
  <c r="G29" i="2"/>
  <c r="H29" i="2"/>
  <c r="I29" i="2"/>
  <c r="J29" i="2"/>
  <c r="K29" i="2"/>
  <c r="L29" i="2"/>
  <c r="N29" i="2"/>
  <c r="O29" i="2"/>
  <c r="P29" i="2"/>
  <c r="C29" i="2"/>
  <c r="Q29" i="2"/>
  <c r="T29" i="2"/>
  <c r="S29" i="2"/>
  <c r="E11" i="3" l="1"/>
  <c r="E17" i="3"/>
  <c r="AQ10" i="2"/>
  <c r="AQ11" i="2" s="1"/>
  <c r="C3" i="4"/>
  <c r="AQ29" i="2"/>
  <c r="AJ45" i="2"/>
  <c r="AK45" i="2"/>
  <c r="AL45" i="2"/>
  <c r="AM45" i="2"/>
  <c r="AA30" i="2"/>
  <c r="AA32" i="2" s="1"/>
  <c r="AB30" i="2"/>
  <c r="AB32" i="2" s="1"/>
  <c r="AC30" i="2"/>
  <c r="AC32" i="2" s="1"/>
  <c r="AE30" i="2"/>
  <c r="AE32" i="2" s="1"/>
  <c r="AF30" i="2"/>
  <c r="AF32" i="2" s="1"/>
  <c r="AP4" i="2"/>
  <c r="AP5" i="2" s="1"/>
  <c r="AP10" i="2"/>
  <c r="AP11" i="2" s="1"/>
  <c r="Z45" i="2"/>
  <c r="AC45" i="2"/>
  <c r="AD45" i="2"/>
  <c r="AE45" i="2"/>
  <c r="AA77" i="2"/>
  <c r="AS27" i="2"/>
  <c r="AR29" i="2"/>
  <c r="AG30" i="2"/>
  <c r="AG32" i="2" s="1"/>
  <c r="AH30" i="2"/>
  <c r="AH32" i="2" s="1"/>
  <c r="AJ30" i="2"/>
  <c r="AJ32" i="2" s="1"/>
  <c r="AK30" i="2"/>
  <c r="AK32" i="2" s="1"/>
  <c r="AL30" i="2"/>
  <c r="AL32" i="2" s="1"/>
  <c r="AM30" i="2"/>
  <c r="AM32" i="2" s="1"/>
  <c r="AN30" i="2"/>
  <c r="AN32" i="2" s="1"/>
  <c r="AO30" i="2"/>
  <c r="AO32" i="2" s="1"/>
  <c r="AP30" i="2"/>
  <c r="AP32" i="2" s="1"/>
  <c r="AT27" i="2"/>
  <c r="AS29" i="2"/>
  <c r="T73" i="2"/>
  <c r="S73" i="2"/>
  <c r="S76" i="2" s="1"/>
  <c r="AR24" i="2"/>
  <c r="AR38" i="2" s="1"/>
  <c r="V26" i="2"/>
  <c r="V25" i="2"/>
  <c r="V38" i="2"/>
  <c r="U41" i="2"/>
  <c r="U30" i="2"/>
  <c r="U32" i="2" s="1"/>
  <c r="U34" i="2" s="1"/>
  <c r="U35" i="2" s="1"/>
  <c r="U25" i="2"/>
  <c r="Z41" i="2"/>
  <c r="Z30" i="2"/>
  <c r="Z32" i="2" s="1"/>
  <c r="AD41" i="2"/>
  <c r="AD30" i="2"/>
  <c r="AD32" i="2" s="1"/>
  <c r="AQ26" i="2"/>
  <c r="AQ4" i="2"/>
  <c r="AP76" i="2"/>
  <c r="AN62" i="2"/>
  <c r="F55" i="2"/>
  <c r="F62" i="2" s="1"/>
  <c r="J55" i="2"/>
  <c r="J62" i="2" s="1"/>
  <c r="AO62" i="2"/>
  <c r="AP62" i="2"/>
  <c r="N55" i="2"/>
  <c r="N62" i="2" s="1"/>
  <c r="AQ62" i="2"/>
  <c r="R55" i="2"/>
  <c r="R62" i="2" s="1"/>
  <c r="AN53" i="2"/>
  <c r="F46" i="2"/>
  <c r="J46" i="2"/>
  <c r="AO53" i="2"/>
  <c r="N46" i="2"/>
  <c r="AP53" i="2"/>
  <c r="AP45" i="2" s="1"/>
  <c r="R46" i="2"/>
  <c r="AQ53" i="2"/>
  <c r="AI41" i="2"/>
  <c r="AI30" i="2"/>
  <c r="AI32" i="2" s="1"/>
  <c r="AQ38" i="2"/>
  <c r="AQ13" i="2"/>
  <c r="Y35" i="2"/>
  <c r="Y64" i="2"/>
  <c r="Y45" i="2"/>
  <c r="AA45" i="2"/>
  <c r="AB45" i="2"/>
  <c r="AN45" i="2"/>
  <c r="AO45" i="2"/>
  <c r="AF45" i="2"/>
  <c r="AG45" i="2"/>
  <c r="AH45" i="2"/>
  <c r="AI45" i="2"/>
  <c r="P62" i="2"/>
  <c r="P45" i="2"/>
  <c r="Q62" i="2"/>
  <c r="Q45" i="2"/>
  <c r="G45" i="2"/>
  <c r="G53" i="2"/>
  <c r="H53" i="2"/>
  <c r="H45" i="2"/>
  <c r="Y30" i="2"/>
  <c r="G30" i="2"/>
  <c r="G32" i="2" s="1"/>
  <c r="G34" i="2" s="1"/>
  <c r="G35" i="2" s="1"/>
  <c r="H30" i="2"/>
  <c r="H32" i="2" s="1"/>
  <c r="H34" i="2" s="1"/>
  <c r="H35" i="2" s="1"/>
  <c r="I30" i="2"/>
  <c r="I32" i="2" s="1"/>
  <c r="I34" i="2" s="1"/>
  <c r="I35" i="2" s="1"/>
  <c r="K30" i="2"/>
  <c r="K32" i="2" s="1"/>
  <c r="K34" i="2" s="1"/>
  <c r="K35" i="2" s="1"/>
  <c r="N30" i="2"/>
  <c r="N32" i="2" s="1"/>
  <c r="N34" i="2" s="1"/>
  <c r="N35" i="2" s="1"/>
  <c r="J38" i="2"/>
  <c r="F41" i="2"/>
  <c r="D41" i="2"/>
  <c r="D30" i="2"/>
  <c r="D32" i="2" s="1"/>
  <c r="D34" i="2" s="1"/>
  <c r="D35" i="2" s="1"/>
  <c r="E41" i="2"/>
  <c r="E30" i="2"/>
  <c r="E32" i="2" s="1"/>
  <c r="E34" i="2" s="1"/>
  <c r="E35" i="2" s="1"/>
  <c r="J30" i="2"/>
  <c r="J32" i="2" s="1"/>
  <c r="J34" i="2" s="1"/>
  <c r="J35" i="2" s="1"/>
  <c r="J41" i="2"/>
  <c r="P41" i="2"/>
  <c r="P30" i="2"/>
  <c r="P32" i="2" s="1"/>
  <c r="P34" i="2" s="1"/>
  <c r="P35" i="2" s="1"/>
  <c r="Q41" i="2"/>
  <c r="Q30" i="2"/>
  <c r="Q32" i="2" s="1"/>
  <c r="Q34" i="2" s="1"/>
  <c r="Q35" i="2" s="1"/>
  <c r="R41" i="2"/>
  <c r="R30" i="2"/>
  <c r="R32" i="2" s="1"/>
  <c r="R34" i="2" s="1"/>
  <c r="R35" i="2" s="1"/>
  <c r="S30" i="2"/>
  <c r="S32" i="2" s="1"/>
  <c r="S34" i="2" s="1"/>
  <c r="S41" i="2"/>
  <c r="T41" i="2"/>
  <c r="T30" i="2"/>
  <c r="T32" i="2" s="1"/>
  <c r="T34" i="2" s="1"/>
  <c r="F29" i="2"/>
  <c r="F30" i="2" s="1"/>
  <c r="F32" i="2" s="1"/>
  <c r="F34" i="2" s="1"/>
  <c r="F35" i="2" s="1"/>
  <c r="M30" i="2"/>
  <c r="M32" i="2" s="1"/>
  <c r="M34" i="2" s="1"/>
  <c r="M35" i="2" s="1"/>
  <c r="O30" i="2"/>
  <c r="O32" i="2" s="1"/>
  <c r="O34" i="2" s="1"/>
  <c r="O35" i="2" s="1"/>
  <c r="L30" i="2"/>
  <c r="L32" i="2" s="1"/>
  <c r="L34" i="2" s="1"/>
  <c r="L35" i="2" s="1"/>
  <c r="C30" i="2"/>
  <c r="C32" i="2" s="1"/>
  <c r="C34" i="2" s="1"/>
  <c r="C35" i="2" s="1"/>
  <c r="AR25" i="2" l="1"/>
  <c r="AA34" i="2"/>
  <c r="AA43" i="2"/>
  <c r="AB34" i="2"/>
  <c r="AB43" i="2"/>
  <c r="AC34" i="2"/>
  <c r="AC43" i="2"/>
  <c r="AE34" i="2"/>
  <c r="AE43" i="2"/>
  <c r="AF34" i="2"/>
  <c r="AF43" i="2"/>
  <c r="AG34" i="2"/>
  <c r="AG43" i="2"/>
  <c r="AH34" i="2"/>
  <c r="AH64" i="2" s="1"/>
  <c r="AH43" i="2"/>
  <c r="AJ34" i="2"/>
  <c r="AJ43" i="2"/>
  <c r="AK34" i="2"/>
  <c r="AK43" i="2"/>
  <c r="AL34" i="2"/>
  <c r="AL43" i="2"/>
  <c r="AM34" i="2"/>
  <c r="AM43" i="2"/>
  <c r="AN34" i="2"/>
  <c r="AN43" i="2"/>
  <c r="AO34" i="2"/>
  <c r="AO43" i="2"/>
  <c r="AP34" i="2"/>
  <c r="AP43" i="2"/>
  <c r="Z34" i="2"/>
  <c r="Z43" i="2"/>
  <c r="AD34" i="2"/>
  <c r="AD43" i="2"/>
  <c r="AI34" i="2"/>
  <c r="AI77" i="2" s="1"/>
  <c r="AI43" i="2"/>
  <c r="C15" i="4"/>
  <c r="C8" i="4"/>
  <c r="AA35" i="2"/>
  <c r="AA64" i="2"/>
  <c r="AB77" i="2"/>
  <c r="AB35" i="2"/>
  <c r="AB64" i="2"/>
  <c r="AC77" i="2"/>
  <c r="AC35" i="2"/>
  <c r="AC64" i="2"/>
  <c r="AE77" i="2"/>
  <c r="AE35" i="2"/>
  <c r="AE64" i="2"/>
  <c r="AF77" i="2"/>
  <c r="AF35" i="2"/>
  <c r="AF64" i="2"/>
  <c r="AG77" i="2"/>
  <c r="AG35" i="2"/>
  <c r="AG64" i="2"/>
  <c r="AJ77" i="2"/>
  <c r="AJ35" i="2"/>
  <c r="AJ64" i="2"/>
  <c r="N53" i="2"/>
  <c r="N45" i="2"/>
  <c r="T76" i="2"/>
  <c r="U76" i="2" s="1"/>
  <c r="V76" i="2" s="1"/>
  <c r="U73" i="2"/>
  <c r="V73" i="2" s="1"/>
  <c r="AR4" i="2"/>
  <c r="AS4" i="2" s="1"/>
  <c r="AS24" i="2" s="1"/>
  <c r="AQ5" i="2"/>
  <c r="J53" i="2"/>
  <c r="J45" i="2"/>
  <c r="AT29" i="2"/>
  <c r="AU27" i="2"/>
  <c r="AR26" i="2"/>
  <c r="V30" i="2"/>
  <c r="V32" i="2" s="1"/>
  <c r="V34" i="2" s="1"/>
  <c r="V35" i="2" s="1"/>
  <c r="V41" i="2"/>
  <c r="AQ30" i="2"/>
  <c r="AQ32" i="2" s="1"/>
  <c r="AQ41" i="2"/>
  <c r="AT4" i="2"/>
  <c r="AH77" i="2"/>
  <c r="AH35" i="2"/>
  <c r="AK77" i="2"/>
  <c r="AK35" i="2"/>
  <c r="AK64" i="2"/>
  <c r="AL77" i="2"/>
  <c r="AL35" i="2"/>
  <c r="AL64" i="2"/>
  <c r="AM77" i="2"/>
  <c r="AM35" i="2"/>
  <c r="AM64" i="2"/>
  <c r="AN77" i="2"/>
  <c r="AN35" i="2"/>
  <c r="AN64" i="2"/>
  <c r="AO77" i="2"/>
  <c r="AO35" i="2"/>
  <c r="AO64" i="2"/>
  <c r="AP77" i="2"/>
  <c r="AP35" i="2"/>
  <c r="AP64" i="2"/>
  <c r="Z77" i="2"/>
  <c r="Z35" i="2"/>
  <c r="Z64" i="2"/>
  <c r="AD77" i="2"/>
  <c r="AD35" i="2"/>
  <c r="AD64" i="2"/>
  <c r="S35" i="2"/>
  <c r="S64" i="2"/>
  <c r="T35" i="2"/>
  <c r="T64" i="2"/>
  <c r="F53" i="2"/>
  <c r="F45" i="2"/>
  <c r="R53" i="2"/>
  <c r="R45" i="2"/>
  <c r="AI64" i="2"/>
  <c r="AI35" i="2"/>
  <c r="C53" i="2"/>
  <c r="C45" i="2"/>
  <c r="AQ34" i="2" l="1"/>
  <c r="AQ64" i="2" s="1"/>
  <c r="AQ43" i="2"/>
  <c r="C7" i="4" s="1"/>
  <c r="C9" i="4" s="1"/>
  <c r="C18" i="4" s="1"/>
  <c r="E14" i="3" s="1"/>
  <c r="E16" i="3" s="1"/>
  <c r="AU29" i="2"/>
  <c r="AV27" i="2"/>
  <c r="AR41" i="2"/>
  <c r="AR30" i="2"/>
  <c r="AR32" i="2" s="1"/>
  <c r="AR34" i="2" s="1"/>
  <c r="AQ77" i="2"/>
  <c r="AQ35" i="2"/>
  <c r="AS38" i="2"/>
  <c r="AS26" i="2"/>
  <c r="AS25" i="2"/>
  <c r="AT24" i="2"/>
  <c r="AU4" i="2"/>
  <c r="AR35" i="2" l="1"/>
  <c r="AV29" i="2"/>
  <c r="AW27" i="2"/>
  <c r="AS30" i="2"/>
  <c r="AS32" i="2" s="1"/>
  <c r="AS33" i="2" s="1"/>
  <c r="AS34" i="2" s="1"/>
  <c r="AS45" i="2" s="1"/>
  <c r="AS41" i="2"/>
  <c r="AT26" i="2"/>
  <c r="AT25" i="2" s="1"/>
  <c r="AT38" i="2"/>
  <c r="AU24" i="2"/>
  <c r="AV4" i="2"/>
  <c r="AW29" i="2" l="1"/>
  <c r="AX27" i="2"/>
  <c r="AS35" i="2"/>
  <c r="AT30" i="2"/>
  <c r="AT32" i="2" s="1"/>
  <c r="AT33" i="2" s="1"/>
  <c r="AT34" i="2" s="1"/>
  <c r="AT41" i="2"/>
  <c r="AU26" i="2"/>
  <c r="AU25" i="2" s="1"/>
  <c r="AU38" i="2"/>
  <c r="AV24" i="2"/>
  <c r="AW4" i="2"/>
  <c r="AT45" i="2" l="1"/>
  <c r="AX29" i="2"/>
  <c r="AY27" i="2"/>
  <c r="AU30" i="2"/>
  <c r="AU32" i="2" s="1"/>
  <c r="AU33" i="2" s="1"/>
  <c r="AU34" i="2" s="1"/>
  <c r="AU41" i="2"/>
  <c r="AV26" i="2"/>
  <c r="AV25" i="2" s="1"/>
  <c r="AV38" i="2"/>
  <c r="AW24" i="2"/>
  <c r="AX4" i="2"/>
  <c r="AT35" i="2"/>
  <c r="AU35" i="2" l="1"/>
  <c r="AU45" i="2"/>
  <c r="AV31" i="2" s="1"/>
  <c r="AY29" i="2"/>
  <c r="AZ27" i="2"/>
  <c r="AV30" i="2"/>
  <c r="AV41" i="2"/>
  <c r="AW26" i="2"/>
  <c r="AW25" i="2"/>
  <c r="AW38" i="2"/>
  <c r="AX24" i="2"/>
  <c r="AY4" i="2"/>
  <c r="AV32" i="2" l="1"/>
  <c r="AV33" i="2" s="1"/>
  <c r="AV34" i="2" s="1"/>
  <c r="AV45" i="2"/>
  <c r="AW31" i="2" s="1"/>
  <c r="AZ29" i="2"/>
  <c r="BA27" i="2"/>
  <c r="AV35" i="2"/>
  <c r="AW30" i="2"/>
  <c r="AW41" i="2"/>
  <c r="AX26" i="2"/>
  <c r="AX25" i="2" s="1"/>
  <c r="AX38" i="2"/>
  <c r="AY24" i="2"/>
  <c r="AZ4" i="2"/>
  <c r="AW32" i="2" l="1"/>
  <c r="AW33" i="2" s="1"/>
  <c r="AW34" i="2" s="1"/>
  <c r="BA29" i="2"/>
  <c r="BB27" i="2"/>
  <c r="AX30" i="2"/>
  <c r="AX41" i="2"/>
  <c r="AY26" i="2"/>
  <c r="AY25" i="2" s="1"/>
  <c r="AY38" i="2"/>
  <c r="AZ24" i="2"/>
  <c r="BA4" i="2"/>
  <c r="AW35" i="2" l="1"/>
  <c r="AW45" i="2"/>
  <c r="AX31" i="2" s="1"/>
  <c r="AX32" i="2" s="1"/>
  <c r="BB29" i="2"/>
  <c r="BC27" i="2"/>
  <c r="BC29" i="2" s="1"/>
  <c r="AY30" i="2"/>
  <c r="AY41" i="2"/>
  <c r="AZ26" i="2"/>
  <c r="AZ25" i="2"/>
  <c r="AZ38" i="2"/>
  <c r="BA24" i="2"/>
  <c r="BA38" i="2" s="1"/>
  <c r="BB4" i="2"/>
  <c r="AX33" i="2" l="1"/>
  <c r="AX34" i="2" s="1"/>
  <c r="AZ30" i="2"/>
  <c r="AZ41" i="2"/>
  <c r="BA26" i="2"/>
  <c r="BA25" i="2" s="1"/>
  <c r="BB24" i="2"/>
  <c r="BB38" i="2" s="1"/>
  <c r="BC4" i="2"/>
  <c r="BC24" i="2" s="1"/>
  <c r="BC38" i="2" s="1"/>
  <c r="AX45" i="2" l="1"/>
  <c r="AX35" i="2"/>
  <c r="BA30" i="2"/>
  <c r="BA41" i="2"/>
  <c r="BB26" i="2"/>
  <c r="BB41" i="2" s="1"/>
  <c r="BC26" i="2"/>
  <c r="BC25" i="2" s="1"/>
  <c r="AY31" i="2" l="1"/>
  <c r="AY32" i="2" s="1"/>
  <c r="AY33" i="2" s="1"/>
  <c r="AY34" i="2" s="1"/>
  <c r="BC30" i="2"/>
  <c r="BC41" i="2"/>
  <c r="BB30" i="2"/>
  <c r="BB25" i="2"/>
  <c r="AY35" i="2" l="1"/>
  <c r="AY45" i="2"/>
  <c r="AZ31" i="2" s="1"/>
  <c r="AZ32" i="2" s="1"/>
  <c r="AZ33" i="2" s="1"/>
  <c r="AZ34" i="2" s="1"/>
  <c r="AZ45" i="2"/>
  <c r="AZ35" i="2"/>
  <c r="BA31" i="2" l="1"/>
  <c r="BA32" i="2" s="1"/>
  <c r="BA33" i="2" l="1"/>
  <c r="BA34" i="2" s="1"/>
  <c r="BA45" i="2" l="1"/>
  <c r="BA35" i="2"/>
  <c r="BB31" i="2" l="1"/>
  <c r="BB32" i="2" s="1"/>
  <c r="BB33" i="2" s="1"/>
  <c r="BB34" i="2" s="1"/>
  <c r="BB45" i="2" l="1"/>
  <c r="BC31" i="2" s="1"/>
  <c r="BC32" i="2" s="1"/>
  <c r="BB35" i="2"/>
  <c r="BC33" i="2" l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BF46" i="2" s="1"/>
  <c r="BF48" i="2" l="1"/>
  <c r="BF49" i="2" s="1"/>
  <c r="BC35" i="2"/>
  <c r="BC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tc={C2CC3746-D02F-4847-81C3-9D397202B75D}</author>
    <author>tc={458656A9-E062-4F5A-80B8-340226A79DFB}</author>
    <author>tc={6CB50497-587C-4269-ADEA-9EEAA61FEF8E}</author>
  </authors>
  <commentList>
    <comment ref="C3" authorId="0" shapeId="0" xr:uid="{C2CC3746-D02F-4847-81C3-9D397202B75D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Market Cap as of 6/28/2024</t>
      </text>
    </comment>
    <comment ref="C11" authorId="1" shapeId="0" xr:uid="{458656A9-E062-4F5A-80B8-340226A79DFB}">
      <text>
        <t>[Threaded comment]
Your version of Excel allows you to read this threaded comment; however, any edits to it will get removed if the file is opened in a newer version of Excel. Learn more: https://go.microsoft.com/fwlink/?linkid=870924
Comment:
    As of 6/28/2024</t>
      </text>
    </comment>
    <comment ref="C12" authorId="2" shapeId="0" xr:uid="{6CB50497-587C-4269-ADEA-9EEAA61FEF8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of 10/14/2024
Source: MorningStar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tc={B4BF01A3-E033-4B2D-8E7F-91423287A543}</author>
  </authors>
  <commentList>
    <comment ref="E13" authorId="0" shapeId="0" xr:uid="{B4BF01A3-E033-4B2D-8E7F-91423287A543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Bain&amp;Co. reported expected growth rate for next 10 years.</t>
      </text>
    </comment>
  </commentList>
</comments>
</file>

<file path=xl/sharedStrings.xml><?xml version="1.0" encoding="utf-8"?>
<sst xmlns="http://schemas.openxmlformats.org/spreadsheetml/2006/main" count="169" uniqueCount="159">
  <si>
    <t>2024 Releases</t>
  </si>
  <si>
    <t>Intel Core Ultra - 2024, with NPU</t>
  </si>
  <si>
    <t>12th Gen Intel core HX</t>
  </si>
  <si>
    <t>Raptor Lake - 13th Gen client, K processors, Z790 chipset</t>
  </si>
  <si>
    <t>i9 - 13900K</t>
  </si>
  <si>
    <t>13th Gen mobile, first 24-core laptop</t>
  </si>
  <si>
    <t>Xeon</t>
  </si>
  <si>
    <t>Ice Lake - 10nm 3rg gen Xeon</t>
  </si>
  <si>
    <t>4th gen Xen (Saphire Rapids)</t>
  </si>
  <si>
    <t>vRAN Boost</t>
  </si>
  <si>
    <t>5th gen Xeon scalabe</t>
  </si>
  <si>
    <t>Price</t>
  </si>
  <si>
    <t>Shares</t>
  </si>
  <si>
    <t>MC</t>
  </si>
  <si>
    <t>Cash</t>
  </si>
  <si>
    <t>Debt</t>
  </si>
  <si>
    <t>EV</t>
  </si>
  <si>
    <t>CEO: Pat Gelsinger replaced Bob Swan</t>
  </si>
  <si>
    <t>CFO: David Zinser</t>
  </si>
  <si>
    <t>Ponte Vecchio</t>
  </si>
  <si>
    <t>Meteor Lake</t>
  </si>
  <si>
    <t>GPUs</t>
  </si>
  <si>
    <t>Intel Arc Pro A40</t>
  </si>
  <si>
    <t>Intel Arc Pro A60</t>
  </si>
  <si>
    <t>Intel Arc Pro A60M</t>
  </si>
  <si>
    <t>Intel 7 - 7nm? - high-volume manufactoring for client/server (Q4 2022)</t>
  </si>
  <si>
    <t>Intel 4 - 4nm - Manufactoring ready, Meteor Lake ramp in 2H 2023</t>
  </si>
  <si>
    <t>Intel 3 - 3nm continues to progress, 20A, 18A test chips</t>
  </si>
  <si>
    <t>C-C bond is 1.54A, 0.15nm</t>
  </si>
  <si>
    <t>MOSFET - metal oxide semiconductor field-effect transistor</t>
  </si>
  <si>
    <t xml:space="preserve">Comp - Big Three </t>
  </si>
  <si>
    <t>Nvidia</t>
  </si>
  <si>
    <t>AMD</t>
  </si>
  <si>
    <t>Broadcom</t>
  </si>
  <si>
    <t>Avago</t>
  </si>
  <si>
    <t>PC Revenue</t>
  </si>
  <si>
    <t>Intel Share</t>
  </si>
  <si>
    <t>PC Shipments</t>
  </si>
  <si>
    <t>Rev/Shipment</t>
  </si>
  <si>
    <t>Foundry</t>
  </si>
  <si>
    <t>AXG</t>
  </si>
  <si>
    <t>Mobileye</t>
  </si>
  <si>
    <t>NEX</t>
  </si>
  <si>
    <t>DCAI</t>
  </si>
  <si>
    <t>CCG - Other</t>
  </si>
  <si>
    <t>CCG - Desktop</t>
  </si>
  <si>
    <t>CCG - Notebook</t>
  </si>
  <si>
    <t>Revenue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</si>
  <si>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</si>
  <si>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</si>
  <si>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</si>
  <si>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</si>
  <si>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</si>
  <si>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</si>
  <si>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</si>
  <si>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</si>
  <si>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</si>
  <si>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</si>
  <si>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</si>
  <si>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</si>
  <si>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</si>
  <si>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</si>
  <si>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Q4 2023</t>
  </si>
  <si>
    <t>Q1 2024</t>
  </si>
  <si>
    <t>Q2 2024</t>
  </si>
  <si>
    <t>Q3 2024</t>
  </si>
  <si>
    <t>Q3 2023</t>
  </si>
  <si>
    <t>Q4 2024</t>
  </si>
  <si>
    <t>COGS</t>
  </si>
  <si>
    <t xml:space="preserve">     Intel %</t>
  </si>
  <si>
    <t>Gross Margin</t>
  </si>
  <si>
    <t>R&amp;D</t>
  </si>
  <si>
    <t>Operating Expenses</t>
  </si>
  <si>
    <t>Operating Income</t>
  </si>
  <si>
    <t>Interest</t>
  </si>
  <si>
    <t>Pre-tax income</t>
  </si>
  <si>
    <t>Taxes</t>
  </si>
  <si>
    <t>Net Income</t>
  </si>
  <si>
    <t>EPS</t>
  </si>
  <si>
    <t>Revenue y/y</t>
  </si>
  <si>
    <t>PC Shipments y/y</t>
  </si>
  <si>
    <t>NG GM%</t>
  </si>
  <si>
    <t>Net Cash</t>
  </si>
  <si>
    <t>AR</t>
  </si>
  <si>
    <t>Inventories</t>
  </si>
  <si>
    <t>OCA</t>
  </si>
  <si>
    <t>PP&amp;E</t>
  </si>
  <si>
    <t>Goodwill</t>
  </si>
  <si>
    <t>LOTA</t>
  </si>
  <si>
    <t>Assets</t>
  </si>
  <si>
    <t>AP</t>
  </si>
  <si>
    <t>Compensation</t>
  </si>
  <si>
    <t>OL</t>
  </si>
  <si>
    <t>OLTL</t>
  </si>
  <si>
    <t>SE</t>
  </si>
  <si>
    <t>L+SE</t>
  </si>
  <si>
    <t>Model NI</t>
  </si>
  <si>
    <t>Reported NI</t>
  </si>
  <si>
    <t>Depreciation</t>
  </si>
  <si>
    <t>SBC</t>
  </si>
  <si>
    <t>Restructuring</t>
  </si>
  <si>
    <t>Amortization</t>
  </si>
  <si>
    <t>Equity Investments</t>
  </si>
  <si>
    <t>Divestitures</t>
  </si>
  <si>
    <t>WC</t>
  </si>
  <si>
    <t>CFFO</t>
  </si>
  <si>
    <t>CapEx</t>
  </si>
  <si>
    <t>FCF</t>
  </si>
  <si>
    <t>Employees</t>
  </si>
  <si>
    <t>MG&amp;A</t>
  </si>
  <si>
    <t>CTO: Greg Lavender</t>
  </si>
  <si>
    <t>$ in millions</t>
  </si>
  <si>
    <t>GDP Change y/y</t>
  </si>
  <si>
    <t>CUSIP</t>
  </si>
  <si>
    <t>458140-10-0</t>
  </si>
  <si>
    <t>NI-FCF</t>
  </si>
  <si>
    <t>Discount</t>
  </si>
  <si>
    <t>ROIC</t>
  </si>
  <si>
    <t>Terminal</t>
  </si>
  <si>
    <t>NPV</t>
  </si>
  <si>
    <t>Share</t>
  </si>
  <si>
    <t>Cost of Equity</t>
  </si>
  <si>
    <t>Tax Rate</t>
  </si>
  <si>
    <t>Cost of Debt</t>
  </si>
  <si>
    <t>Effective Tax Rate</t>
  </si>
  <si>
    <t>Equity</t>
  </si>
  <si>
    <t>D/(D+E)</t>
  </si>
  <si>
    <t>After Tax cost of Debt</t>
  </si>
  <si>
    <t>Expected Market Return</t>
  </si>
  <si>
    <t>Market Risk Premium</t>
  </si>
  <si>
    <t>Beta</t>
  </si>
  <si>
    <t>E/(D+E)</t>
  </si>
  <si>
    <t>WACC</t>
  </si>
  <si>
    <t>Risk Free Rate (10yr T-yield)</t>
  </si>
  <si>
    <t>Unlevered FCF</t>
  </si>
  <si>
    <t>Fiscal Year</t>
  </si>
  <si>
    <r>
      <t xml:space="preserve">Unlevered FCF </t>
    </r>
    <r>
      <rPr>
        <i/>
        <sz val="11"/>
        <color theme="1"/>
        <rFont val="Aptos Narrow"/>
        <family val="2"/>
        <scheme val="minor"/>
      </rPr>
      <t>(USD in Millions)</t>
    </r>
  </si>
  <si>
    <t>Projected Year</t>
  </si>
  <si>
    <t>PV of FCF</t>
  </si>
  <si>
    <t>Implied Share Price</t>
  </si>
  <si>
    <t>EV/EBIT</t>
  </si>
  <si>
    <t>Sum of PV of FCF</t>
  </si>
  <si>
    <t>Industry Growth Rate</t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</si>
  <si>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</si>
  <si>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</si>
  <si>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</si>
  <si>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</si>
  <si>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</si>
  <si>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</si>
  <si>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</si>
  <si>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t>Diluted Shares Outstanding</t>
  </si>
  <si>
    <t>2024E</t>
  </si>
  <si>
    <t>2025E</t>
  </si>
  <si>
    <t>2026E</t>
  </si>
  <si>
    <t>2027E</t>
  </si>
  <si>
    <t>2028E</t>
  </si>
  <si>
    <t>2029E</t>
  </si>
  <si>
    <t>Sensitivity Table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</si>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</sst>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1"/>
      <color theme="0"/>
      <name val="Aptos Narrow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64" fontId="0" fillId="0" borderId="0" xfId="1" applyNumberFormat="1" applyFont="1"/>
    <xf numFmtId="164" fontId="0" fillId="0" borderId="0" xfId="1" applyNumberFormat="1" applyFont="1" applyBorder="1" applyAlignment="1">
      <alignment horizontal="right"/>
    </xf>
    <xf numFmtId="2" fontId="0" fillId="0" borderId="0" xfId="1" applyNumberFormat="1" applyFont="1" applyBorder="1" applyAlignment="1">
      <alignment horizontal="right"/>
    </xf>
    <xf numFmtId="164" fontId="2" fillId="0" borderId="0" xfId="1" applyNumberFormat="1" applyFont="1"/>
    <xf numFmtId="9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4" fontId="0" fillId="0" borderId="0" xfId="0" applyNumberFormat="1"/>
    <xf numFmtId="9" fontId="0" fillId="0" borderId="0" xfId="2" applyFont="1"/>
    <xf numFmtId="3" fontId="0" fillId="0" borderId="0" xfId="0" applyNumberFormat="1"/>
    <xf numFmtId="2" fontId="0" fillId="0" borderId="0" xfId="0" applyNumberFormat="1"/>
    <xf numFmtId="3" fontId="2" fillId="0" borderId="0" xfId="0" applyNumberFormat="1" applyFont="1"/>
    <xf numFmtId="9" fontId="2" fillId="0" borderId="0" xfId="2" applyFont="1"/>
    <xf numFmtId="10" fontId="0" fillId="0" borderId="0" xfId="0" applyNumberFormat="1"/>
    <xf numFmtId="10" fontId="0" fillId="0" borderId="0" xfId="2" applyNumberFormat="1" applyFont="1"/>
    <xf numFmtId="2" fontId="4" fillId="0" borderId="0" xfId="0" applyNumberFormat="1" applyFont="1"/>
    <xf numFmtId="1" fontId="4" fillId="0" borderId="0" xfId="0" applyNumberFormat="1" applyFont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2" fontId="0" fillId="0" borderId="0" xfId="1" applyNumberFormat="1" applyFont="1" applyFill="1" applyBorder="1" applyAlignment="1">
      <alignment horizontal="right"/>
    </xf>
    <xf numFmtId="9" fontId="0" fillId="0" borderId="0" xfId="2" applyFont="1" applyBorder="1"/>
    <xf numFmtId="37" fontId="2" fillId="0" borderId="0" xfId="1" applyNumberFormat="1" applyFont="1"/>
    <xf numFmtId="164" fontId="2" fillId="0" borderId="0" xfId="0" applyNumberFormat="1" applyFont="1"/>
    <xf numFmtId="3" fontId="7" fillId="0" borderId="0" xfId="0" applyNumberFormat="1" applyFont="1"/>
    <xf numFmtId="9" fontId="0" fillId="0" borderId="0" xfId="0" applyNumberFormat="1"/>
    <xf numFmtId="44" fontId="0" fillId="0" borderId="0" xfId="3" applyFont="1"/>
    <xf numFmtId="0" fontId="0" fillId="0" borderId="1" xfId="0" applyBorder="1"/>
    <xf numFmtId="0" fontId="2" fillId="0" borderId="1" xfId="0" applyFont="1" applyBorder="1"/>
    <xf numFmtId="10" fontId="0" fillId="0" borderId="0" xfId="2" applyNumberFormat="1" applyFont="1" applyBorder="1"/>
    <xf numFmtId="10" fontId="2" fillId="0" borderId="1" xfId="0" applyNumberFormat="1" applyFont="1" applyBorder="1"/>
    <xf numFmtId="0" fontId="2" fillId="2" borderId="1" xfId="0" applyFont="1" applyFill="1" applyBorder="1"/>
    <xf numFmtId="0" fontId="0" fillId="2" borderId="1" xfId="0" applyFill="1" applyBorder="1"/>
    <xf numFmtId="0" fontId="0" fillId="0" borderId="0" xfId="0" applyAlignment="1">
      <alignment horizontal="right"/>
    </xf>
    <xf numFmtId="10" fontId="0" fillId="2" borderId="0" xfId="0" applyNumberFormat="1" applyFill="1"/>
    <xf numFmtId="0" fontId="0" fillId="2" borderId="0" xfId="0" applyFill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textRotation="90"/>
    </xf>
    <xf numFmtId="0" fontId="2" fillId="0" borderId="1" xfId="0" applyFont="1" applyFill="1" applyBorder="1"/>
    <xf numFmtId="10" fontId="2" fillId="0" borderId="1" xfId="2" applyNumberFormat="1" applyFont="1" applyFill="1" applyBorder="1"/>
    <xf numFmtId="0" fontId="0" fillId="0" borderId="0" xfId="0" applyBorder="1"/>
    <xf numFmtId="3" fontId="0" fillId="0" borderId="0" xfId="0" applyNumberFormat="1" applyBorder="1"/>
    <xf numFmtId="3" fontId="7" fillId="0" borderId="0" xfId="0" applyNumberFormat="1" applyFont="1" applyBorder="1"/>
    <xf numFmtId="1" fontId="4" fillId="0" borderId="0" xfId="0" applyNumberFormat="1" applyFont="1" applyBorder="1"/>
    <xf numFmtId="2" fontId="4" fillId="0" borderId="0" xfId="0" applyNumberFormat="1" applyFont="1" applyBorder="1"/>
    <xf numFmtId="164" fontId="2" fillId="0" borderId="0" xfId="0" applyNumberFormat="1" applyFont="1" applyBorder="1"/>
    <xf numFmtId="164" fontId="0" fillId="0" borderId="0" xfId="0" applyNumberFormat="1" applyBorder="1"/>
    <xf numFmtId="2" fontId="0" fillId="0" borderId="0" xfId="0" applyNumberFormat="1" applyBorder="1"/>
    <xf numFmtId="9" fontId="2" fillId="0" borderId="0" xfId="2" applyFont="1" applyBorder="1"/>
    <xf numFmtId="164" fontId="2" fillId="0" borderId="0" xfId="1" applyNumberFormat="1" applyFont="1" applyBorder="1"/>
    <xf numFmtId="9" fontId="5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1" xfId="0" applyNumberFormat="1" applyBorder="1"/>
    <xf numFmtId="3" fontId="2" fillId="0" borderId="1" xfId="0" applyNumberFormat="1" applyFont="1" applyBorder="1"/>
    <xf numFmtId="3" fontId="2" fillId="0" borderId="0" xfId="0" applyNumberFormat="1" applyFont="1" applyBorder="1"/>
    <xf numFmtId="3" fontId="0" fillId="0" borderId="0" xfId="1" applyNumberFormat="1" applyFo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678656</xdr:colOff>
      <xdr:row>0</xdr:row>
      <xdr:rowOff>0</xdr:rowOff>
    </xdr:from>
    <xdr:to>
      <xdr:col>20</xdr:col>
      <xdr:colOff>23812</xdr:colOff>
      <xdr:row>90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8F2F26-3964-B85A-18C5-554F6A76FDEF}"/>
            </a:ext>
          </a:extLst>
        </xdr:cNvPr>
        <xdr:cNvCxnSpPr/>
      </xdr:nvCxnSpPr>
      <xdr:spPr>
        <a:xfrm>
          <a:off x="13489781" y="0"/>
          <a:ext cx="47625" cy="170973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631032</xdr:colOff>
      <xdr:row>0</xdr:row>
      <xdr:rowOff>0</xdr:rowOff>
    </xdr:from>
    <xdr:to>
      <xdr:col>43</xdr:col>
      <xdr:colOff>0</xdr:colOff>
      <xdr:row>89</xdr:row>
      <xdr:rowOff>11907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78553A3-2591-BD17-65D5-13121406FF67}"/>
            </a:ext>
          </a:extLst>
        </xdr:cNvPr>
        <xdr:cNvCxnSpPr/>
      </xdr:nvCxnSpPr>
      <xdr:spPr>
        <a:xfrm flipH="1">
          <a:off x="27932063" y="0"/>
          <a:ext cx="11906" cy="1696640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Dantas Jr" id="{DB1A452E-3738-43E3-97F7-38D40A617262}" userId="64d300fcf58872a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4-10-14T12:38:06.95" personId="{DB1A452E-3738-43E3-97F7-38D40A617262}" id="{C2CC3746-D02F-4847-81C3-9D397202B75D}">
    <text>Market Cap as of 6/28/2024</text>
  </threadedComment>
  <threadedComment ref="C11" dT="2024-10-14T12:39:28.29" personId="{DB1A452E-3738-43E3-97F7-38D40A617262}" id="{458656A9-E062-4F5A-80B8-340226A79DFB}">
    <text>As of 6/28/2024</text>
  </threadedComment>
  <threadedComment ref="C12" dT="2024-10-14T12:41:05.90" personId="{DB1A452E-3738-43E3-97F7-38D40A617262}" id="{6CB50497-587C-4269-ADEA-9EEAA61FEF8E}">
    <text>As of 10/14/2024
Source: MorningStar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3" dT="2024-10-14T17:45:23.47" personId="{DB1A452E-3738-43E3-97F7-38D40A617262}" id="{B4BF01A3-E033-4B2D-8E7F-91423287A543}">
    <text>Source: Bain&amp;Co. reported expected growth rate for next 10 years.</text>
  </threadedComment>
</ThreadedComments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1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4F31BEBD-83C9-4E74-9E23-D8925CA502FE}">
  <we:reference id="wa200006230" version="1.0.0.0" store="en-US" storeType="OMEX"/>
  <we:alternateReferences>
    <we:reference id="wa200006230" version="1.0.0.0" store="WA200006230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5FB4B231-FA57-4EC4-8CD4-7253A0E4ED47}">
  <we:reference id="wa104379220" version="8.0.0.0" store="en-US" storeType="OMEX"/>
  <we:alternateReferences>
    <we:reference id="WA104379220" version="8.0.0.0" store="" storeType="OMEX"/>
  </we:alternateReferences>
  <we:properties>
    <we:property name="Office.AutoShowTaskpaneWithDocument" value="true"/>
    <we:property name="lastCryptoCompare" value="0"/>
    <we:property name="lastIexCall" value="1733957755996"/>
    <we:property name="lastInfo" value="{&quot;INTC&quot;:{&quot;time&quot;:1733957756641,&quot;updateTime&quot;:1733950800000,&quot;price&quot;:&quot;20.12&quot;,&quot;name&quot;:&quot;Intel Corp&quot;,&quot;prevClose&quot;:20.160320641282567}}"/>
    <we:property name="lastMutualFundsCall" value="0"/>
    <we:property name="stocks" value="{&quot;INTC&quot;:[&quot;INTC&quot;,20.12,-0.0020000000000000018,1733950800000]}"/>
    <we:property name="stocksChange" value="{}"/>
    <we:property name="stocksOrder" value="[&quot;INTC&quot;]"/>
    <we:property name="stocksSources" value="{&quot;INTC&quot;:0}"/>
    <we:property name="updateIntervalIndex" value="2"/>
  </we:properties>
  <we:bindings>
    <we:binding id="INTC" type="text" appref="{2AC57C9E-6DC6-4CE1-B16B-0019EA6A2E28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99D1-ACB6-4654-BC3D-DE0B94329F3F}">
  <dimension ref="B2:J29"/>
  <sheetViews>
    <sheetView workbookViewId="0">
      <selection activeCell="J8" sqref="J8"/>
    </sheetView>
  </sheetViews>
  <sheetFormatPr defaultRowHeight="15" x14ac:dyDescent="0.25"/>
  <cols>
    <col min="10" max="10" width="9" bestFit="1" customWidth="1"/>
  </cols>
  <sheetData>
    <row r="2" spans="2:10" x14ac:dyDescent="0.25">
      <c r="B2" t="s">
        <v>113</v>
      </c>
      <c r="C2" t="s">
        <v>114</v>
      </c>
    </row>
    <row r="3" spans="2:10" x14ac:dyDescent="0.25">
      <c r="B3" t="s">
        <v>0</v>
      </c>
      <c r="I3" t="s">
        <v>11</v>
      </c>
      <c r="J3" s="13">
        <v>21.58</v>
      </c>
    </row>
    <row r="4" spans="2:10" x14ac:dyDescent="0.25">
      <c r="B4" t="s">
        <v>1</v>
      </c>
      <c r="I4" t="s">
        <v>12</v>
      </c>
      <c r="J4" s="12">
        <v>4267</v>
      </c>
    </row>
    <row r="5" spans="2:10" x14ac:dyDescent="0.25">
      <c r="B5" t="s">
        <v>2</v>
      </c>
      <c r="I5" t="s">
        <v>13</v>
      </c>
      <c r="J5" s="4">
        <f>+J3*J4</f>
        <v>92081.859999999986</v>
      </c>
    </row>
    <row r="6" spans="2:10" x14ac:dyDescent="0.25">
      <c r="B6" t="s">
        <v>3</v>
      </c>
      <c r="I6" t="s">
        <v>14</v>
      </c>
      <c r="J6" s="12">
        <v>35097</v>
      </c>
    </row>
    <row r="7" spans="2:10" x14ac:dyDescent="0.25">
      <c r="B7" t="s">
        <v>4</v>
      </c>
      <c r="I7" t="s">
        <v>15</v>
      </c>
      <c r="J7" s="12">
        <v>53029</v>
      </c>
    </row>
    <row r="8" spans="2:10" x14ac:dyDescent="0.25">
      <c r="B8" t="s">
        <v>5</v>
      </c>
      <c r="I8" t="s">
        <v>16</v>
      </c>
      <c r="J8" s="12">
        <f>+J5-J6+J7</f>
        <v>110013.85999999999</v>
      </c>
    </row>
    <row r="10" spans="2:10" x14ac:dyDescent="0.25">
      <c r="B10" t="s">
        <v>19</v>
      </c>
    </row>
    <row r="11" spans="2:10" x14ac:dyDescent="0.25">
      <c r="B11" t="s">
        <v>20</v>
      </c>
      <c r="I11" t="s">
        <v>17</v>
      </c>
    </row>
    <row r="12" spans="2:10" x14ac:dyDescent="0.25">
      <c r="I12" t="s">
        <v>18</v>
      </c>
    </row>
    <row r="13" spans="2:10" x14ac:dyDescent="0.25">
      <c r="B13" s="1" t="s">
        <v>6</v>
      </c>
      <c r="I13" t="s">
        <v>110</v>
      </c>
    </row>
    <row r="14" spans="2:10" x14ac:dyDescent="0.25">
      <c r="B14" t="s">
        <v>7</v>
      </c>
    </row>
    <row r="15" spans="2:10" x14ac:dyDescent="0.25">
      <c r="B15" t="s">
        <v>8</v>
      </c>
    </row>
    <row r="16" spans="2:10" x14ac:dyDescent="0.25">
      <c r="B16" t="s">
        <v>9</v>
      </c>
    </row>
    <row r="17" spans="2:2" x14ac:dyDescent="0.25">
      <c r="B17" t="s">
        <v>10</v>
      </c>
    </row>
    <row r="19" spans="2:2" x14ac:dyDescent="0.25">
      <c r="B19" s="1" t="s">
        <v>21</v>
      </c>
    </row>
    <row r="20" spans="2:2" x14ac:dyDescent="0.25">
      <c r="B20" t="s">
        <v>22</v>
      </c>
    </row>
    <row r="21" spans="2:2" x14ac:dyDescent="0.25">
      <c r="B21" t="s">
        <v>23</v>
      </c>
    </row>
    <row r="22" spans="2:2" x14ac:dyDescent="0.25">
      <c r="B22" t="s">
        <v>24</v>
      </c>
    </row>
    <row r="24" spans="2:2" x14ac:dyDescent="0.25">
      <c r="B24" t="s">
        <v>25</v>
      </c>
    </row>
    <row r="25" spans="2:2" x14ac:dyDescent="0.25">
      <c r="B25" t="s">
        <v>26</v>
      </c>
    </row>
    <row r="26" spans="2:2" x14ac:dyDescent="0.25">
      <c r="B26" t="s">
        <v>27</v>
      </c>
    </row>
    <row r="28" spans="2:2" x14ac:dyDescent="0.25">
      <c r="B28" t="s">
        <v>28</v>
      </c>
    </row>
    <row r="29" spans="2:2" x14ac:dyDescent="0.25">
      <c r="B29" t="s">
        <v>29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2AC57C9E-6DC6-4CE1-B16B-0019EA6A2E28}">
          <xm:f>Overview!$J$3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9234-3258-4DA4-82B6-EDBC0CC5A298}">
  <dimension ref="B2:XFC80"/>
  <sheetViews>
    <sheetView zoomScale="80" zoomScaleNormal="80" workbookViewId="0">
      <pane xSplit="2" ySplit="3" topLeftCell="K19" activePane="bottomRight" state="frozen"/>
      <selection pane="topRight" activeCell="C1" sqref="C1"/>
      <selection pane="bottomLeft" activeCell="A4" sqref="A4"/>
      <selection pane="bottomRight" activeCell="BF49" sqref="BF49"/>
    </sheetView>
  </sheetViews>
  <sheetFormatPr defaultRowHeight="15" x14ac:dyDescent="0.25"/>
  <cols>
    <col min="2" max="2" width="20.5703125" customWidth="1"/>
    <col min="14" max="14" width="9.5703125" bestFit="1" customWidth="1"/>
    <col min="15" max="19" width="10.5703125" bestFit="1" customWidth="1"/>
    <col min="20" max="20" width="10.5703125" style="43" bestFit="1" customWidth="1"/>
    <col min="21" max="22" width="10.140625" bestFit="1" customWidth="1"/>
    <col min="25" max="34" width="9.140625" customWidth="1"/>
    <col min="35" max="42" width="9.5703125" bestFit="1" customWidth="1"/>
    <col min="43" max="43" width="9.5703125" style="43" customWidth="1"/>
    <col min="45" max="55" width="10.140625" bestFit="1" customWidth="1"/>
    <col min="58" max="58" width="9.85546875" customWidth="1"/>
  </cols>
  <sheetData>
    <row r="2" spans="2:55" x14ac:dyDescent="0.25">
      <c r="B2" s="3" t="s">
        <v>111</v>
      </c>
    </row>
    <row r="3" spans="2:55" x14ac:dyDescent="0.25"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M3" t="s">
        <v>58</v>
      </c>
      <c r="N3" t="s">
        <v>59</v>
      </c>
      <c r="O3" t="s">
        <v>60</v>
      </c>
      <c r="P3" t="s">
        <v>61</v>
      </c>
      <c r="Q3" t="s">
        <v>66</v>
      </c>
      <c r="R3" t="s">
        <v>62</v>
      </c>
      <c r="S3" t="s">
        <v>63</v>
      </c>
      <c r="T3" s="43" t="s">
        <v>64</v>
      </c>
      <c r="U3" t="s">
        <v>65</v>
      </c>
      <c r="V3" t="s">
        <v>67</v>
      </c>
      <c r="Y3">
        <v>2005</v>
      </c>
      <c r="Z3">
        <v>2006</v>
      </c>
      <c r="AA3">
        <v>2007</v>
      </c>
      <c r="AB3">
        <v>2008</v>
      </c>
      <c r="AC3">
        <v>2009</v>
      </c>
      <c r="AD3">
        <v>2010</v>
      </c>
      <c r="AE3">
        <v>2011</v>
      </c>
      <c r="AF3">
        <v>2012</v>
      </c>
      <c r="AG3">
        <v>2013</v>
      </c>
      <c r="AH3">
        <v>2014</v>
      </c>
      <c r="AI3">
        <v>2015</v>
      </c>
      <c r="AJ3">
        <v>2016</v>
      </c>
      <c r="AK3">
        <v>2017</v>
      </c>
      <c r="AL3">
        <v>2018</v>
      </c>
      <c r="AM3">
        <v>2019</v>
      </c>
      <c r="AN3">
        <v>2020</v>
      </c>
      <c r="AO3">
        <v>2021</v>
      </c>
      <c r="AP3">
        <v>2022</v>
      </c>
      <c r="AQ3" s="43">
        <v>2023</v>
      </c>
      <c r="AR3">
        <v>2024</v>
      </c>
      <c r="AS3">
        <v>2025</v>
      </c>
      <c r="AT3">
        <v>2026</v>
      </c>
      <c r="AU3">
        <v>2027</v>
      </c>
      <c r="AV3">
        <v>2028</v>
      </c>
      <c r="AW3">
        <v>2029</v>
      </c>
      <c r="AX3">
        <v>2030</v>
      </c>
      <c r="AY3">
        <v>2031</v>
      </c>
      <c r="AZ3">
        <v>2032</v>
      </c>
      <c r="BA3">
        <v>2033</v>
      </c>
      <c r="BB3">
        <v>2034</v>
      </c>
      <c r="BC3">
        <v>2035</v>
      </c>
    </row>
    <row r="4" spans="2:55" x14ac:dyDescent="0.25">
      <c r="B4" t="s">
        <v>30</v>
      </c>
      <c r="AM4" s="12">
        <f>+AM24+AM7+AM6</f>
        <v>89614</v>
      </c>
      <c r="AN4" s="12">
        <f>+AN24+AN7+AN6</f>
        <v>104305</v>
      </c>
      <c r="AO4" s="12">
        <f>+AO24+AO7+AO6</f>
        <v>122372</v>
      </c>
      <c r="AP4" s="12">
        <f>+AP24+AP7+AP6</f>
        <v>106411</v>
      </c>
      <c r="AQ4" s="44">
        <f>+AQ24+AQ7+AQ6</f>
        <v>102351</v>
      </c>
      <c r="AR4" s="12">
        <f t="shared" ref="AR4:BC4" si="0">+AQ4*1.05</f>
        <v>107468.55</v>
      </c>
      <c r="AS4" s="12">
        <f t="shared" si="0"/>
        <v>112841.97750000001</v>
      </c>
      <c r="AT4" s="12">
        <f t="shared" si="0"/>
        <v>118484.07637500002</v>
      </c>
      <c r="AU4" s="12">
        <f t="shared" si="0"/>
        <v>124408.28019375002</v>
      </c>
      <c r="AV4" s="12">
        <f t="shared" si="0"/>
        <v>130628.69420343752</v>
      </c>
      <c r="AW4" s="12">
        <f t="shared" si="0"/>
        <v>137160.1289136094</v>
      </c>
      <c r="AX4" s="12">
        <f t="shared" si="0"/>
        <v>144018.13535928988</v>
      </c>
      <c r="AY4" s="12">
        <f t="shared" si="0"/>
        <v>151219.04212725439</v>
      </c>
      <c r="AZ4" s="12">
        <f t="shared" si="0"/>
        <v>158779.99423361712</v>
      </c>
      <c r="BA4" s="12">
        <f t="shared" si="0"/>
        <v>166718.99394529799</v>
      </c>
      <c r="BB4" s="12">
        <f t="shared" si="0"/>
        <v>175054.9436425629</v>
      </c>
      <c r="BC4" s="12">
        <f t="shared" si="0"/>
        <v>183807.69082469106</v>
      </c>
    </row>
    <row r="5" spans="2:55" x14ac:dyDescent="0.25">
      <c r="B5" s="3" t="s">
        <v>69</v>
      </c>
      <c r="AM5" s="11">
        <f>+AM24/AM4</f>
        <v>0.80305532617671349</v>
      </c>
      <c r="AN5" s="11">
        <f>+AN24/AN4</f>
        <v>0.74653180576194811</v>
      </c>
      <c r="AO5" s="11">
        <f>+AO24/AO4</f>
        <v>0.64576863988494104</v>
      </c>
      <c r="AP5" s="11">
        <f>+AP24/AP4</f>
        <v>0.59255152192912386</v>
      </c>
      <c r="AQ5" s="23">
        <f>+AQ24/AQ4</f>
        <v>0.52982384148664885</v>
      </c>
      <c r="AR5" s="27">
        <v>0.51</v>
      </c>
      <c r="AS5" s="27">
        <v>0.52</v>
      </c>
      <c r="AT5" s="27">
        <v>0.53</v>
      </c>
      <c r="AU5" s="27">
        <v>0.53</v>
      </c>
      <c r="AV5" s="27">
        <v>0.54</v>
      </c>
      <c r="AW5" s="27">
        <v>0.54</v>
      </c>
      <c r="AX5" s="27">
        <v>0.54</v>
      </c>
      <c r="AY5" s="27">
        <v>0.55000000000000004</v>
      </c>
      <c r="AZ5" s="27">
        <v>0.56000000000000005</v>
      </c>
      <c r="BA5" s="27">
        <v>0.56000000000000005</v>
      </c>
      <c r="BB5" s="27">
        <v>0.56000000000000005</v>
      </c>
      <c r="BC5" s="27">
        <v>0.56000000000000005</v>
      </c>
    </row>
    <row r="6" spans="2:55" x14ac:dyDescent="0.25">
      <c r="B6" s="3" t="s">
        <v>31</v>
      </c>
      <c r="AM6" s="26">
        <v>10918</v>
      </c>
      <c r="AN6" s="26">
        <v>16675</v>
      </c>
      <c r="AO6" s="26">
        <v>26914</v>
      </c>
      <c r="AP6" s="26">
        <v>26923</v>
      </c>
      <c r="AQ6" s="45">
        <f>+AP6</f>
        <v>26923</v>
      </c>
    </row>
    <row r="7" spans="2:55" x14ac:dyDescent="0.25">
      <c r="B7" s="3" t="s">
        <v>32</v>
      </c>
      <c r="AG7" s="12">
        <v>5299</v>
      </c>
      <c r="AH7" s="12">
        <v>5506</v>
      </c>
      <c r="AI7" s="12">
        <v>3991</v>
      </c>
      <c r="AJ7" s="12">
        <v>4272</v>
      </c>
      <c r="AK7" s="12">
        <v>5329</v>
      </c>
      <c r="AL7" s="12">
        <v>6475</v>
      </c>
      <c r="AM7" s="26">
        <v>6731</v>
      </c>
      <c r="AN7" s="26">
        <v>9763</v>
      </c>
      <c r="AO7" s="26">
        <v>16434</v>
      </c>
      <c r="AP7" s="26">
        <f>+AO7</f>
        <v>16434</v>
      </c>
      <c r="AQ7" s="45">
        <f>5300*4</f>
        <v>21200</v>
      </c>
    </row>
    <row r="8" spans="2:55" x14ac:dyDescent="0.25">
      <c r="B8" s="3" t="s">
        <v>33</v>
      </c>
    </row>
    <row r="9" spans="2:55" x14ac:dyDescent="0.25">
      <c r="B9" s="3" t="s">
        <v>34</v>
      </c>
    </row>
    <row r="10" spans="2:55" x14ac:dyDescent="0.25">
      <c r="B10" s="3" t="s">
        <v>35</v>
      </c>
      <c r="AG10" s="12">
        <f>+AG7+AG24</f>
        <v>58007</v>
      </c>
      <c r="AH10" s="12">
        <f t="shared" ref="AH10:AQ10" si="1">+AH7+AH24</f>
        <v>61376</v>
      </c>
      <c r="AI10" s="12">
        <f t="shared" si="1"/>
        <v>59346</v>
      </c>
      <c r="AJ10" s="12">
        <f t="shared" si="1"/>
        <v>63659</v>
      </c>
      <c r="AK10" s="12">
        <f t="shared" si="1"/>
        <v>68090</v>
      </c>
      <c r="AL10" s="12">
        <f t="shared" si="1"/>
        <v>77323</v>
      </c>
      <c r="AM10" s="12">
        <f t="shared" si="1"/>
        <v>78696</v>
      </c>
      <c r="AN10" s="12">
        <f t="shared" si="1"/>
        <v>87630</v>
      </c>
      <c r="AO10" s="12">
        <f t="shared" si="1"/>
        <v>95458</v>
      </c>
      <c r="AP10" s="12">
        <f t="shared" si="1"/>
        <v>79488</v>
      </c>
      <c r="AQ10" s="44">
        <f t="shared" si="1"/>
        <v>75428</v>
      </c>
    </row>
    <row r="11" spans="2:55" x14ac:dyDescent="0.25">
      <c r="B11" s="3" t="s">
        <v>36</v>
      </c>
      <c r="AG11" s="11">
        <f>+AG24/AG10</f>
        <v>0.90864895616046337</v>
      </c>
      <c r="AH11" s="11">
        <f t="shared" ref="AH11:AQ11" si="2">+AH24/AH10</f>
        <v>0.91029066736183528</v>
      </c>
      <c r="AI11" s="11">
        <f t="shared" si="2"/>
        <v>0.93275031173120349</v>
      </c>
      <c r="AJ11" s="11">
        <f t="shared" si="2"/>
        <v>0.93289244254543746</v>
      </c>
      <c r="AK11" s="11">
        <f t="shared" si="2"/>
        <v>0.92173593772947571</v>
      </c>
      <c r="AL11" s="11">
        <f t="shared" si="2"/>
        <v>0.91626036237600716</v>
      </c>
      <c r="AM11" s="11">
        <f t="shared" si="2"/>
        <v>0.91446833384161841</v>
      </c>
      <c r="AN11" s="11">
        <f t="shared" si="2"/>
        <v>0.88858838297386744</v>
      </c>
      <c r="AO11" s="11">
        <f t="shared" si="2"/>
        <v>0.82784051624798338</v>
      </c>
      <c r="AP11" s="11">
        <f t="shared" si="2"/>
        <v>0.79325181159420288</v>
      </c>
      <c r="AQ11" s="23">
        <f t="shared" si="2"/>
        <v>0.71893726467624752</v>
      </c>
    </row>
    <row r="12" spans="2:55" x14ac:dyDescent="0.25">
      <c r="B12" s="3" t="s">
        <v>37</v>
      </c>
      <c r="Z12" s="19">
        <v>239.21</v>
      </c>
      <c r="AA12" s="19">
        <v>272.45</v>
      </c>
      <c r="AB12" s="19">
        <v>290.8</v>
      </c>
      <c r="AC12" s="19">
        <v>308.33999999999997</v>
      </c>
      <c r="AD12" s="19">
        <v>350.9</v>
      </c>
      <c r="AE12" s="19">
        <v>365.36</v>
      </c>
      <c r="AF12" s="19">
        <v>351.06</v>
      </c>
      <c r="AG12" s="19">
        <v>316.45999999999998</v>
      </c>
      <c r="AH12" s="19">
        <v>313.68</v>
      </c>
      <c r="AI12" s="19">
        <v>287.68</v>
      </c>
      <c r="AJ12" s="19">
        <v>269.72000000000003</v>
      </c>
      <c r="AK12" s="19">
        <v>262.68</v>
      </c>
      <c r="AL12" s="19">
        <v>259.76</v>
      </c>
      <c r="AM12" s="19">
        <v>262.55</v>
      </c>
      <c r="AN12" s="19">
        <v>309.08</v>
      </c>
      <c r="AO12" s="19">
        <v>341.73</v>
      </c>
      <c r="AP12" s="19">
        <v>284.05</v>
      </c>
      <c r="AQ12" s="46">
        <v>241.89</v>
      </c>
    </row>
    <row r="13" spans="2:55" x14ac:dyDescent="0.25">
      <c r="B13" s="3" t="s">
        <v>38</v>
      </c>
      <c r="Z13" s="18">
        <f>+Z24/Z12</f>
        <v>147.91187659378787</v>
      </c>
      <c r="AA13" s="18">
        <f t="shared" ref="AA13:AQ13" si="3">+AA24/AA12</f>
        <v>140.7010460634979</v>
      </c>
      <c r="AB13" s="18">
        <f t="shared" si="3"/>
        <v>129.2503438789546</v>
      </c>
      <c r="AC13" s="18">
        <f t="shared" si="3"/>
        <v>113.92294220665499</v>
      </c>
      <c r="AD13" s="18">
        <f t="shared" si="3"/>
        <v>124.31746936449132</v>
      </c>
      <c r="AE13" s="18">
        <f t="shared" si="3"/>
        <v>147.79669367199475</v>
      </c>
      <c r="AF13" s="18">
        <f t="shared" si="3"/>
        <v>151.94268785962512</v>
      </c>
      <c r="AG13" s="18">
        <f t="shared" si="3"/>
        <v>166.55501485179803</v>
      </c>
      <c r="AH13" s="18">
        <f t="shared" si="3"/>
        <v>178.11145116041826</v>
      </c>
      <c r="AI13" s="18">
        <f t="shared" si="3"/>
        <v>192.41865962180199</v>
      </c>
      <c r="AJ13" s="18">
        <f t="shared" si="3"/>
        <v>220.18018686044786</v>
      </c>
      <c r="AK13" s="18">
        <f t="shared" si="3"/>
        <v>238.92568905131719</v>
      </c>
      <c r="AL13" s="18">
        <f t="shared" si="3"/>
        <v>272.74407145056978</v>
      </c>
      <c r="AM13" s="18">
        <f t="shared" si="3"/>
        <v>274.10017139592458</v>
      </c>
      <c r="AN13" s="18">
        <f t="shared" si="3"/>
        <v>251.93153876019156</v>
      </c>
      <c r="AO13" s="18">
        <f t="shared" si="3"/>
        <v>231.24689082023818</v>
      </c>
      <c r="AP13" s="18">
        <f t="shared" si="3"/>
        <v>221.9820454145397</v>
      </c>
      <c r="AQ13" s="47">
        <f t="shared" si="3"/>
        <v>224.18454669477862</v>
      </c>
    </row>
    <row r="14" spans="2:55" x14ac:dyDescent="0.25">
      <c r="F14" s="10"/>
    </row>
    <row r="15" spans="2:55" x14ac:dyDescent="0.25">
      <c r="B15" t="s">
        <v>39</v>
      </c>
      <c r="F15" s="10"/>
      <c r="G15">
        <v>103</v>
      </c>
      <c r="H15">
        <v>264</v>
      </c>
      <c r="I15">
        <v>174</v>
      </c>
      <c r="K15">
        <v>156</v>
      </c>
      <c r="L15">
        <v>57</v>
      </c>
      <c r="M15">
        <v>78</v>
      </c>
      <c r="O15">
        <v>4831</v>
      </c>
      <c r="P15">
        <v>4172</v>
      </c>
      <c r="Q15">
        <v>311</v>
      </c>
      <c r="S15">
        <v>4369</v>
      </c>
      <c r="T15" s="43">
        <v>4320</v>
      </c>
    </row>
    <row r="16" spans="2:55" x14ac:dyDescent="0.25">
      <c r="B16" t="s">
        <v>40</v>
      </c>
      <c r="F16" s="10"/>
      <c r="G16">
        <f>1724+181</f>
        <v>1905</v>
      </c>
      <c r="H16">
        <f>177+1129</f>
        <v>1306</v>
      </c>
      <c r="I16">
        <f>1133+171</f>
        <v>1304</v>
      </c>
      <c r="K16">
        <v>268</v>
      </c>
      <c r="L16">
        <v>220</v>
      </c>
      <c r="M16">
        <v>294</v>
      </c>
      <c r="O16">
        <v>816</v>
      </c>
      <c r="P16">
        <v>848</v>
      </c>
      <c r="Q16">
        <v>186</v>
      </c>
      <c r="S16">
        <v>342</v>
      </c>
      <c r="T16" s="43">
        <v>361</v>
      </c>
    </row>
    <row r="17" spans="2:55" x14ac:dyDescent="0.25">
      <c r="B17" t="s">
        <v>41</v>
      </c>
      <c r="F17" s="10"/>
      <c r="G17">
        <v>377</v>
      </c>
      <c r="H17">
        <v>327</v>
      </c>
      <c r="I17">
        <v>326</v>
      </c>
      <c r="K17">
        <v>394</v>
      </c>
      <c r="L17">
        <v>460</v>
      </c>
      <c r="M17">
        <v>450</v>
      </c>
      <c r="O17">
        <v>458</v>
      </c>
      <c r="P17">
        <v>454</v>
      </c>
      <c r="Q17">
        <v>530</v>
      </c>
      <c r="S17">
        <v>239</v>
      </c>
      <c r="T17" s="43">
        <v>440</v>
      </c>
    </row>
    <row r="18" spans="2:55" x14ac:dyDescent="0.25">
      <c r="B18" t="s">
        <v>42</v>
      </c>
      <c r="G18">
        <v>1799</v>
      </c>
      <c r="H18">
        <v>2105</v>
      </c>
      <c r="I18">
        <v>1986</v>
      </c>
      <c r="K18">
        <v>2139</v>
      </c>
      <c r="L18">
        <v>2211</v>
      </c>
      <c r="M18">
        <v>2133</v>
      </c>
      <c r="O18">
        <v>1489</v>
      </c>
      <c r="P18">
        <v>1364</v>
      </c>
      <c r="Q18">
        <v>1450</v>
      </c>
      <c r="S18">
        <v>1364</v>
      </c>
      <c r="T18" s="43">
        <v>1344</v>
      </c>
    </row>
    <row r="19" spans="2:55" x14ac:dyDescent="0.25">
      <c r="B19" t="s">
        <v>43</v>
      </c>
      <c r="G19">
        <v>4940</v>
      </c>
      <c r="H19">
        <v>5547</v>
      </c>
      <c r="I19">
        <v>5778</v>
      </c>
      <c r="K19">
        <v>6074</v>
      </c>
      <c r="L19">
        <v>4695</v>
      </c>
      <c r="M19">
        <v>4255</v>
      </c>
      <c r="O19">
        <v>2901</v>
      </c>
      <c r="P19">
        <v>3155</v>
      </c>
      <c r="Q19">
        <v>3814</v>
      </c>
      <c r="S19">
        <v>3036</v>
      </c>
      <c r="T19" s="43">
        <v>3045</v>
      </c>
    </row>
    <row r="20" spans="2:55" x14ac:dyDescent="0.25">
      <c r="B20" t="s">
        <v>44</v>
      </c>
      <c r="F20" s="10"/>
      <c r="G20">
        <v>997</v>
      </c>
      <c r="H20">
        <v>727</v>
      </c>
      <c r="I20">
        <v>725</v>
      </c>
      <c r="K20">
        <v>722</v>
      </c>
      <c r="L20">
        <v>638</v>
      </c>
      <c r="M20">
        <v>498</v>
      </c>
      <c r="O20">
        <v>481</v>
      </c>
      <c r="P20">
        <v>514</v>
      </c>
      <c r="Q20">
        <v>611</v>
      </c>
      <c r="S20">
        <v>391</v>
      </c>
      <c r="T20" s="43">
        <v>403</v>
      </c>
    </row>
    <row r="21" spans="2:55" x14ac:dyDescent="0.25">
      <c r="B21" t="s">
        <v>45</v>
      </c>
      <c r="G21">
        <v>2770</v>
      </c>
      <c r="H21">
        <v>2792</v>
      </c>
      <c r="I21">
        <v>3119</v>
      </c>
      <c r="K21">
        <v>2641</v>
      </c>
      <c r="L21">
        <v>2289</v>
      </c>
      <c r="M21">
        <v>3222</v>
      </c>
      <c r="O21">
        <v>1879</v>
      </c>
      <c r="P21">
        <v>2370</v>
      </c>
      <c r="Q21">
        <v>2753</v>
      </c>
      <c r="S21">
        <v>2461</v>
      </c>
      <c r="T21" s="43">
        <v>2527</v>
      </c>
    </row>
    <row r="22" spans="2:55" x14ac:dyDescent="0.25">
      <c r="B22" t="s">
        <v>46</v>
      </c>
      <c r="F22" s="10"/>
      <c r="G22">
        <v>6956</v>
      </c>
      <c r="H22">
        <v>6734</v>
      </c>
      <c r="I22">
        <v>5944</v>
      </c>
      <c r="K22" s="10">
        <v>5959</v>
      </c>
      <c r="L22">
        <v>4751</v>
      </c>
      <c r="M22">
        <v>4408</v>
      </c>
      <c r="O22">
        <v>3407</v>
      </c>
      <c r="P22">
        <v>3896</v>
      </c>
      <c r="Q22">
        <v>4503</v>
      </c>
      <c r="S22">
        <v>4681</v>
      </c>
      <c r="T22" s="43">
        <v>4480</v>
      </c>
    </row>
    <row r="24" spans="2:55" x14ac:dyDescent="0.25">
      <c r="B24" s="2" t="s">
        <v>47</v>
      </c>
      <c r="C24" s="7">
        <v>19828</v>
      </c>
      <c r="D24" s="7">
        <v>19728</v>
      </c>
      <c r="E24" s="7">
        <v>18333</v>
      </c>
      <c r="F24" s="7">
        <f>77867-E24-D24-C24</f>
        <v>19978</v>
      </c>
      <c r="G24" s="7">
        <v>19673</v>
      </c>
      <c r="H24" s="7">
        <v>19631</v>
      </c>
      <c r="I24" s="7">
        <v>19192</v>
      </c>
      <c r="J24" s="7">
        <v>20528</v>
      </c>
      <c r="K24" s="7">
        <v>18353</v>
      </c>
      <c r="L24" s="7">
        <v>15321</v>
      </c>
      <c r="M24" s="7">
        <v>15338</v>
      </c>
      <c r="N24" s="7">
        <v>14042</v>
      </c>
      <c r="O24" s="7">
        <v>11715</v>
      </c>
      <c r="P24" s="7">
        <v>12949</v>
      </c>
      <c r="Q24" s="7">
        <v>14158</v>
      </c>
      <c r="R24" s="7">
        <v>15406</v>
      </c>
      <c r="S24" s="7">
        <v>12724</v>
      </c>
      <c r="T24" s="52">
        <v>12833</v>
      </c>
      <c r="U24" s="14">
        <v>13000</v>
      </c>
      <c r="V24" s="24">
        <f>+R24*0.9</f>
        <v>13865.4</v>
      </c>
      <c r="Y24" s="14">
        <v>38826</v>
      </c>
      <c r="Z24" s="14">
        <v>35382</v>
      </c>
      <c r="AA24" s="14">
        <v>38334</v>
      </c>
      <c r="AB24" s="14">
        <v>37586</v>
      </c>
      <c r="AC24" s="14">
        <v>35127</v>
      </c>
      <c r="AD24" s="14">
        <v>43623</v>
      </c>
      <c r="AE24" s="14">
        <v>53999</v>
      </c>
      <c r="AF24" s="14">
        <v>53341</v>
      </c>
      <c r="AG24" s="14">
        <v>52708</v>
      </c>
      <c r="AH24" s="14">
        <v>55870</v>
      </c>
      <c r="AI24" s="14">
        <v>55355</v>
      </c>
      <c r="AJ24" s="14">
        <v>59387</v>
      </c>
      <c r="AK24" s="14">
        <v>62761</v>
      </c>
      <c r="AL24" s="14">
        <v>70848</v>
      </c>
      <c r="AM24" s="14">
        <v>71965</v>
      </c>
      <c r="AN24" s="14">
        <v>77867</v>
      </c>
      <c r="AO24" s="14">
        <v>79024</v>
      </c>
      <c r="AP24" s="14">
        <v>63054</v>
      </c>
      <c r="AQ24" s="48">
        <f>SUM(O24:R24)</f>
        <v>54228</v>
      </c>
      <c r="AR24" s="25">
        <f>SUM(S24:V24)</f>
        <v>52422.400000000001</v>
      </c>
      <c r="AS24" s="7">
        <f>+AS4*AS5</f>
        <v>58677.828300000008</v>
      </c>
      <c r="AT24" s="7">
        <f t="shared" ref="AT24:BC24" si="4">+AT4*AT5</f>
        <v>62796.560478750012</v>
      </c>
      <c r="AU24" s="7">
        <f t="shared" si="4"/>
        <v>65936.388502687507</v>
      </c>
      <c r="AV24" s="7">
        <f t="shared" si="4"/>
        <v>70539.494869856266</v>
      </c>
      <c r="AW24" s="7">
        <f t="shared" si="4"/>
        <v>74066.46961334908</v>
      </c>
      <c r="AX24" s="7">
        <f t="shared" si="4"/>
        <v>77769.793094016539</v>
      </c>
      <c r="AY24" s="7">
        <f t="shared" si="4"/>
        <v>83170.473169989928</v>
      </c>
      <c r="AZ24" s="7">
        <f t="shared" si="4"/>
        <v>88916.796770825604</v>
      </c>
      <c r="BA24" s="7">
        <f t="shared" si="4"/>
        <v>93362.636609366877</v>
      </c>
      <c r="BB24" s="7">
        <f t="shared" si="4"/>
        <v>98030.768439835228</v>
      </c>
      <c r="BC24" s="7">
        <f t="shared" si="4"/>
        <v>102932.306861827</v>
      </c>
    </row>
    <row r="25" spans="2:55" x14ac:dyDescent="0.25">
      <c r="B25" t="s">
        <v>68</v>
      </c>
      <c r="C25" s="4">
        <v>7812</v>
      </c>
      <c r="D25" s="4">
        <v>9221</v>
      </c>
      <c r="E25" s="4">
        <v>8592</v>
      </c>
      <c r="F25" s="4">
        <v>8630</v>
      </c>
      <c r="G25" s="4">
        <v>8819</v>
      </c>
      <c r="H25" s="4">
        <v>8425</v>
      </c>
      <c r="I25" s="4">
        <v>8446</v>
      </c>
      <c r="J25" s="4">
        <v>9519</v>
      </c>
      <c r="K25" s="4">
        <v>9109</v>
      </c>
      <c r="L25" s="4">
        <v>9734</v>
      </c>
      <c r="M25" s="4">
        <v>8803</v>
      </c>
      <c r="N25" s="4">
        <v>8542</v>
      </c>
      <c r="O25" s="4">
        <v>7707</v>
      </c>
      <c r="P25" s="4">
        <v>8311</v>
      </c>
      <c r="Q25" s="4">
        <v>8140</v>
      </c>
      <c r="R25" s="4">
        <v>8359</v>
      </c>
      <c r="S25" s="4">
        <v>7507</v>
      </c>
      <c r="T25" s="21">
        <v>8286</v>
      </c>
      <c r="U25" s="10">
        <f>U24-U26</f>
        <v>7800</v>
      </c>
      <c r="V25" s="10">
        <f>+V24-V26</f>
        <v>8319.24</v>
      </c>
      <c r="Y25" s="12">
        <v>15777</v>
      </c>
      <c r="Z25" s="12">
        <v>17164</v>
      </c>
      <c r="AA25" s="12">
        <v>18430</v>
      </c>
      <c r="AB25" s="12">
        <v>16742</v>
      </c>
      <c r="AC25" s="12">
        <v>15566</v>
      </c>
      <c r="AD25" s="12">
        <v>15132</v>
      </c>
      <c r="AE25" s="12">
        <v>20242</v>
      </c>
      <c r="AF25" s="12">
        <v>20190</v>
      </c>
      <c r="AG25" s="12">
        <v>21187</v>
      </c>
      <c r="AH25" s="12">
        <v>20261</v>
      </c>
      <c r="AI25" s="12">
        <v>20676</v>
      </c>
      <c r="AJ25" s="12">
        <v>23196</v>
      </c>
      <c r="AK25" s="12">
        <v>23692</v>
      </c>
      <c r="AL25" s="12">
        <v>27111</v>
      </c>
      <c r="AM25" s="12">
        <v>29825</v>
      </c>
      <c r="AN25" s="12">
        <v>34255</v>
      </c>
      <c r="AO25" s="12">
        <v>35209</v>
      </c>
      <c r="AP25" s="12">
        <v>36188</v>
      </c>
      <c r="AQ25" s="49">
        <f>SUM(O25:R25)</f>
        <v>32517</v>
      </c>
      <c r="AR25" s="10">
        <f>SUM(S25:V25)</f>
        <v>31912.239999999998</v>
      </c>
      <c r="AS25" s="10">
        <f t="shared" ref="AS25:BC25" si="5">AS24-AS26</f>
        <v>30512.470716000007</v>
      </c>
      <c r="AT25" s="10">
        <f t="shared" si="5"/>
        <v>32654.211448950009</v>
      </c>
      <c r="AU25" s="10">
        <f t="shared" si="5"/>
        <v>33627.55813637063</v>
      </c>
      <c r="AV25" s="10">
        <f t="shared" si="5"/>
        <v>35975.142383626699</v>
      </c>
      <c r="AW25" s="10">
        <f t="shared" si="5"/>
        <v>37033.23480667454</v>
      </c>
      <c r="AX25" s="10">
        <f t="shared" si="5"/>
        <v>38884.896547008269</v>
      </c>
      <c r="AY25" s="10">
        <f t="shared" si="5"/>
        <v>40753.531853295062</v>
      </c>
      <c r="AZ25" s="10">
        <f t="shared" si="5"/>
        <v>43569.230417704544</v>
      </c>
      <c r="BA25" s="10">
        <f t="shared" si="5"/>
        <v>44814.065572496096</v>
      </c>
      <c r="BB25" s="10">
        <f t="shared" si="5"/>
        <v>47054.768851120905</v>
      </c>
      <c r="BC25" s="10">
        <f t="shared" si="5"/>
        <v>48378.184225058692</v>
      </c>
    </row>
    <row r="26" spans="2:55" x14ac:dyDescent="0.25">
      <c r="B26" t="s">
        <v>70</v>
      </c>
      <c r="C26" s="4">
        <f>+C24-C25</f>
        <v>12016</v>
      </c>
      <c r="D26" s="4">
        <f t="shared" ref="D26:T26" si="6">+D24-D25</f>
        <v>10507</v>
      </c>
      <c r="E26" s="4">
        <f t="shared" si="6"/>
        <v>9741</v>
      </c>
      <c r="F26" s="4">
        <v>11348</v>
      </c>
      <c r="G26" s="4">
        <f t="shared" si="6"/>
        <v>10854</v>
      </c>
      <c r="H26" s="4">
        <f t="shared" si="6"/>
        <v>11206</v>
      </c>
      <c r="I26" s="4">
        <f t="shared" si="6"/>
        <v>10746</v>
      </c>
      <c r="J26" s="4">
        <f t="shared" si="6"/>
        <v>11009</v>
      </c>
      <c r="K26" s="4">
        <f t="shared" si="6"/>
        <v>9244</v>
      </c>
      <c r="L26" s="4">
        <f t="shared" si="6"/>
        <v>5587</v>
      </c>
      <c r="M26" s="4">
        <f t="shared" si="6"/>
        <v>6535</v>
      </c>
      <c r="N26" s="4">
        <f t="shared" si="6"/>
        <v>5500</v>
      </c>
      <c r="O26" s="4">
        <f t="shared" si="6"/>
        <v>4008</v>
      </c>
      <c r="P26" s="4">
        <f t="shared" si="6"/>
        <v>4638</v>
      </c>
      <c r="Q26" s="4">
        <f t="shared" si="6"/>
        <v>6018</v>
      </c>
      <c r="R26" s="4">
        <f t="shared" si="6"/>
        <v>7047</v>
      </c>
      <c r="S26" s="4">
        <f t="shared" si="6"/>
        <v>5217</v>
      </c>
      <c r="T26" s="21">
        <f t="shared" si="6"/>
        <v>4547</v>
      </c>
      <c r="U26" s="20">
        <f>+U24*0.4</f>
        <v>5200</v>
      </c>
      <c r="V26" s="20">
        <f>+V24*0.4</f>
        <v>5546.16</v>
      </c>
      <c r="X26" s="12"/>
      <c r="Y26" s="12">
        <f>+Y24-Y25</f>
        <v>23049</v>
      </c>
      <c r="Z26" s="12">
        <f t="shared" ref="Z26:AP26" si="7">+Z24-Z25</f>
        <v>18218</v>
      </c>
      <c r="AA26" s="12">
        <f t="shared" si="7"/>
        <v>19904</v>
      </c>
      <c r="AB26" s="12">
        <f t="shared" si="7"/>
        <v>20844</v>
      </c>
      <c r="AC26" s="12">
        <f t="shared" si="7"/>
        <v>19561</v>
      </c>
      <c r="AD26" s="12">
        <f t="shared" si="7"/>
        <v>28491</v>
      </c>
      <c r="AE26" s="12">
        <f t="shared" si="7"/>
        <v>33757</v>
      </c>
      <c r="AF26" s="12">
        <f t="shared" si="7"/>
        <v>33151</v>
      </c>
      <c r="AG26" s="12">
        <f t="shared" si="7"/>
        <v>31521</v>
      </c>
      <c r="AH26" s="12">
        <f t="shared" si="7"/>
        <v>35609</v>
      </c>
      <c r="AI26" s="12">
        <f t="shared" si="7"/>
        <v>34679</v>
      </c>
      <c r="AJ26" s="12">
        <f t="shared" si="7"/>
        <v>36191</v>
      </c>
      <c r="AK26" s="12">
        <f t="shared" si="7"/>
        <v>39069</v>
      </c>
      <c r="AL26" s="12">
        <f t="shared" si="7"/>
        <v>43737</v>
      </c>
      <c r="AM26" s="12">
        <f t="shared" si="7"/>
        <v>42140</v>
      </c>
      <c r="AN26" s="12">
        <f t="shared" si="7"/>
        <v>43612</v>
      </c>
      <c r="AO26" s="12">
        <f t="shared" si="7"/>
        <v>43815</v>
      </c>
      <c r="AP26" s="12">
        <f t="shared" si="7"/>
        <v>26866</v>
      </c>
      <c r="AQ26" s="44">
        <f>+AQ24-AQ25</f>
        <v>21711</v>
      </c>
      <c r="AR26" s="10">
        <f>SUM(S26:V26)</f>
        <v>20510.16</v>
      </c>
      <c r="AS26" s="12">
        <f>+AS24*0.48</f>
        <v>28165.357584000001</v>
      </c>
      <c r="AT26" s="12">
        <f>+AT24*0.48</f>
        <v>30142.349029800003</v>
      </c>
      <c r="AU26" s="12">
        <f>+AU24*0.49</f>
        <v>32308.830366316877</v>
      </c>
      <c r="AV26" s="12">
        <f>+AV24*0.49</f>
        <v>34564.352486229567</v>
      </c>
      <c r="AW26" s="12">
        <f>+AW24*0.5</f>
        <v>37033.23480667454</v>
      </c>
      <c r="AX26" s="12">
        <f>+AX24*0.5</f>
        <v>38884.896547008269</v>
      </c>
      <c r="AY26" s="12">
        <f>+AY24*0.51</f>
        <v>42416.941316694865</v>
      </c>
      <c r="AZ26" s="12">
        <f>+AZ24*0.51</f>
        <v>45347.566353121059</v>
      </c>
      <c r="BA26" s="12">
        <f>+BA24*0.52</f>
        <v>48548.571036870781</v>
      </c>
      <c r="BB26" s="12">
        <f>+BB24*0.52</f>
        <v>50975.999588714323</v>
      </c>
      <c r="BC26" s="12">
        <f>+BC24*0.53</f>
        <v>54554.122636768312</v>
      </c>
    </row>
    <row r="27" spans="2:55" x14ac:dyDescent="0.25">
      <c r="B27" t="s">
        <v>71</v>
      </c>
      <c r="C27" s="4">
        <v>3275</v>
      </c>
      <c r="D27" s="4">
        <v>3354</v>
      </c>
      <c r="E27" s="4">
        <v>3272</v>
      </c>
      <c r="F27" s="4">
        <v>3655</v>
      </c>
      <c r="G27" s="4">
        <v>3623</v>
      </c>
      <c r="H27" s="4">
        <v>3715</v>
      </c>
      <c r="I27" s="4">
        <v>3803</v>
      </c>
      <c r="J27" s="4">
        <v>4049</v>
      </c>
      <c r="K27" s="4">
        <v>4362</v>
      </c>
      <c r="L27" s="4">
        <v>4400</v>
      </c>
      <c r="M27" s="4">
        <v>4302</v>
      </c>
      <c r="N27" s="4">
        <v>4464</v>
      </c>
      <c r="O27" s="4">
        <v>4109</v>
      </c>
      <c r="P27" s="4">
        <v>4080</v>
      </c>
      <c r="Q27" s="4">
        <v>3870</v>
      </c>
      <c r="R27" s="4">
        <v>3987</v>
      </c>
      <c r="S27" s="4">
        <v>4382</v>
      </c>
      <c r="T27" s="21">
        <v>4239</v>
      </c>
      <c r="U27" s="20">
        <v>4000</v>
      </c>
      <c r="V27" s="20">
        <v>3750</v>
      </c>
      <c r="Y27" s="12">
        <v>5145</v>
      </c>
      <c r="Z27" s="12">
        <v>5873</v>
      </c>
      <c r="AA27" s="12">
        <v>5755</v>
      </c>
      <c r="AB27" s="12">
        <v>5722</v>
      </c>
      <c r="AC27" s="12">
        <v>5653</v>
      </c>
      <c r="AD27" s="12">
        <v>6576</v>
      </c>
      <c r="AE27" s="12">
        <v>8350</v>
      </c>
      <c r="AF27" s="12">
        <v>10148</v>
      </c>
      <c r="AG27" s="12">
        <v>10611</v>
      </c>
      <c r="AH27" s="12">
        <v>11537</v>
      </c>
      <c r="AI27" s="12">
        <v>12128</v>
      </c>
      <c r="AJ27" s="12">
        <v>12740</v>
      </c>
      <c r="AK27" s="12">
        <v>13098</v>
      </c>
      <c r="AL27" s="12">
        <v>13543</v>
      </c>
      <c r="AM27" s="12">
        <v>13362</v>
      </c>
      <c r="AN27" s="12">
        <v>13556</v>
      </c>
      <c r="AO27" s="12">
        <v>15190</v>
      </c>
      <c r="AP27" s="12">
        <v>17528</v>
      </c>
      <c r="AQ27" s="49">
        <f>SUM(O27:R27)</f>
        <v>16046</v>
      </c>
      <c r="AR27" s="10">
        <f>SUM(S27:V27)</f>
        <v>16371</v>
      </c>
      <c r="AS27" s="10">
        <f t="shared" ref="AS27:BC27" si="8">+AR27*1.03</f>
        <v>16862.13</v>
      </c>
      <c r="AT27" s="10">
        <f t="shared" si="8"/>
        <v>17367.993900000001</v>
      </c>
      <c r="AU27" s="10">
        <f t="shared" si="8"/>
        <v>17889.033717000002</v>
      </c>
      <c r="AV27" s="10">
        <f t="shared" si="8"/>
        <v>18425.704728510002</v>
      </c>
      <c r="AW27" s="10">
        <f t="shared" si="8"/>
        <v>18978.475870365302</v>
      </c>
      <c r="AX27" s="10">
        <f t="shared" si="8"/>
        <v>19547.830146476263</v>
      </c>
      <c r="AY27" s="10">
        <f t="shared" si="8"/>
        <v>20134.265050870552</v>
      </c>
      <c r="AZ27" s="10">
        <f t="shared" si="8"/>
        <v>20738.293002396669</v>
      </c>
      <c r="BA27" s="10">
        <f t="shared" si="8"/>
        <v>21360.441792468569</v>
      </c>
      <c r="BB27" s="10">
        <f t="shared" si="8"/>
        <v>22001.255046242626</v>
      </c>
      <c r="BC27" s="10">
        <f t="shared" si="8"/>
        <v>22661.292697629906</v>
      </c>
    </row>
    <row r="28" spans="2:55" x14ac:dyDescent="0.25">
      <c r="B28" t="s">
        <v>109</v>
      </c>
      <c r="C28" s="4">
        <v>1541</v>
      </c>
      <c r="D28" s="4">
        <v>1447</v>
      </c>
      <c r="E28" s="4">
        <v>1435</v>
      </c>
      <c r="F28" s="4">
        <v>1757</v>
      </c>
      <c r="G28" s="4">
        <v>1328</v>
      </c>
      <c r="H28" s="4">
        <v>1599</v>
      </c>
      <c r="I28" s="4">
        <v>1674</v>
      </c>
      <c r="J28" s="4">
        <v>1942</v>
      </c>
      <c r="K28" s="4">
        <v>1752</v>
      </c>
      <c r="L28" s="4">
        <v>1800</v>
      </c>
      <c r="M28" s="4">
        <v>1744</v>
      </c>
      <c r="N28" s="4">
        <v>1706</v>
      </c>
      <c r="O28" s="4">
        <v>1303</v>
      </c>
      <c r="P28" s="4">
        <v>1374</v>
      </c>
      <c r="Q28" s="4">
        <v>1340</v>
      </c>
      <c r="R28" s="4">
        <v>1617</v>
      </c>
      <c r="S28" s="4">
        <v>1556</v>
      </c>
      <c r="T28" s="21">
        <v>1329</v>
      </c>
      <c r="U28" s="20">
        <v>1150</v>
      </c>
      <c r="V28" s="20">
        <v>1000</v>
      </c>
      <c r="Y28" s="12">
        <v>5688</v>
      </c>
      <c r="Z28" s="12">
        <v>6096</v>
      </c>
      <c r="AA28" s="12">
        <v>5401</v>
      </c>
      <c r="AB28" s="12">
        <v>5458</v>
      </c>
      <c r="AC28" s="12">
        <v>7931</v>
      </c>
      <c r="AD28" s="12">
        <v>6309</v>
      </c>
      <c r="AE28" s="12">
        <v>7670</v>
      </c>
      <c r="AF28" s="12">
        <v>8057</v>
      </c>
      <c r="AG28" s="12">
        <v>8088</v>
      </c>
      <c r="AH28" s="12">
        <v>8136</v>
      </c>
      <c r="AI28" s="12">
        <v>7930</v>
      </c>
      <c r="AJ28" s="12">
        <v>8397</v>
      </c>
      <c r="AK28" s="12">
        <v>7474</v>
      </c>
      <c r="AL28" s="12">
        <v>6950</v>
      </c>
      <c r="AM28" s="12">
        <v>6350</v>
      </c>
      <c r="AN28" s="12">
        <v>6180</v>
      </c>
      <c r="AO28" s="12">
        <v>6543</v>
      </c>
      <c r="AP28" s="12">
        <v>7002</v>
      </c>
      <c r="AQ28" s="49">
        <f>SUM(O28:R28)</f>
        <v>5634</v>
      </c>
      <c r="AR28" s="10">
        <f>SUM(S28:V28)</f>
        <v>5035</v>
      </c>
      <c r="AS28" s="10">
        <f t="shared" ref="AS28:BC28" si="9">+AR28*1.03</f>
        <v>5186.05</v>
      </c>
      <c r="AT28" s="10">
        <f t="shared" si="9"/>
        <v>5341.6315000000004</v>
      </c>
      <c r="AU28" s="10">
        <f t="shared" si="9"/>
        <v>5501.8804450000007</v>
      </c>
      <c r="AV28" s="10">
        <f t="shared" si="9"/>
        <v>5666.9368583500009</v>
      </c>
      <c r="AW28" s="10">
        <f t="shared" si="9"/>
        <v>5836.9449641005012</v>
      </c>
      <c r="AX28" s="10">
        <f t="shared" si="9"/>
        <v>6012.0533130235162</v>
      </c>
      <c r="AY28" s="10">
        <f t="shared" si="9"/>
        <v>6192.4149124142223</v>
      </c>
      <c r="AZ28" s="10">
        <f t="shared" si="9"/>
        <v>6378.1873597866488</v>
      </c>
      <c r="BA28" s="10">
        <f t="shared" si="9"/>
        <v>6569.5329805802485</v>
      </c>
      <c r="BB28" s="10">
        <f t="shared" si="9"/>
        <v>6766.6189699976558</v>
      </c>
      <c r="BC28" s="10">
        <f t="shared" si="9"/>
        <v>6969.6175390975859</v>
      </c>
    </row>
    <row r="29" spans="2:55" x14ac:dyDescent="0.25">
      <c r="B29" t="s">
        <v>72</v>
      </c>
      <c r="C29" s="4">
        <f t="shared" ref="C29" si="10">+C27+C28</f>
        <v>4816</v>
      </c>
      <c r="D29" s="4">
        <f t="shared" ref="D29" si="11">+D27+D28</f>
        <v>4801</v>
      </c>
      <c r="E29" s="4">
        <f t="shared" ref="E29" si="12">+E27+E28</f>
        <v>4707</v>
      </c>
      <c r="F29" s="4">
        <f t="shared" ref="F29" si="13">+F27+F28</f>
        <v>5412</v>
      </c>
      <c r="G29" s="4">
        <f t="shared" ref="G29" si="14">+G27+G28</f>
        <v>4951</v>
      </c>
      <c r="H29" s="4">
        <f t="shared" ref="H29" si="15">+H27+H28</f>
        <v>5314</v>
      </c>
      <c r="I29" s="4">
        <f t="shared" ref="I29" si="16">+I27+I28</f>
        <v>5477</v>
      </c>
      <c r="J29" s="4">
        <f t="shared" ref="J29" si="17">+J27+J28</f>
        <v>5991</v>
      </c>
      <c r="K29" s="4">
        <f t="shared" ref="K29" si="18">+K27+K28</f>
        <v>6114</v>
      </c>
      <c r="L29" s="4">
        <f t="shared" ref="L29" si="19">+L27+L28</f>
        <v>6200</v>
      </c>
      <c r="M29" s="4">
        <f t="shared" ref="M29:N29" si="20">+M27+M28</f>
        <v>6046</v>
      </c>
      <c r="N29" s="4">
        <f t="shared" si="20"/>
        <v>6170</v>
      </c>
      <c r="O29" s="4">
        <f t="shared" ref="O29" si="21">+O27+O28</f>
        <v>5412</v>
      </c>
      <c r="P29" s="4">
        <f t="shared" ref="P29" si="22">+P27+P28</f>
        <v>5454</v>
      </c>
      <c r="Q29" s="4">
        <f t="shared" ref="Q29" si="23">+Q27+Q28</f>
        <v>5210</v>
      </c>
      <c r="R29" s="4">
        <v>5604</v>
      </c>
      <c r="S29" s="4">
        <f>+S27+S28</f>
        <v>5938</v>
      </c>
      <c r="T29" s="21">
        <f>+T27+T28</f>
        <v>5568</v>
      </c>
      <c r="U29" s="10">
        <f>+U27+U28</f>
        <v>5150</v>
      </c>
      <c r="V29" s="10">
        <f>+V27+V28</f>
        <v>4750</v>
      </c>
      <c r="Y29" s="12">
        <f>+Y27+Y28</f>
        <v>10833</v>
      </c>
      <c r="Z29" s="12">
        <f t="shared" ref="Z29:AZ29" si="24">+Z27+Z28</f>
        <v>11969</v>
      </c>
      <c r="AA29" s="12">
        <f t="shared" si="24"/>
        <v>11156</v>
      </c>
      <c r="AB29" s="12">
        <f t="shared" si="24"/>
        <v>11180</v>
      </c>
      <c r="AC29" s="12">
        <f t="shared" si="24"/>
        <v>13584</v>
      </c>
      <c r="AD29" s="12">
        <f t="shared" si="24"/>
        <v>12885</v>
      </c>
      <c r="AE29" s="12">
        <f t="shared" si="24"/>
        <v>16020</v>
      </c>
      <c r="AF29" s="12">
        <f t="shared" si="24"/>
        <v>18205</v>
      </c>
      <c r="AG29" s="12">
        <f t="shared" si="24"/>
        <v>18699</v>
      </c>
      <c r="AH29" s="12">
        <f t="shared" si="24"/>
        <v>19673</v>
      </c>
      <c r="AI29" s="12">
        <f t="shared" si="24"/>
        <v>20058</v>
      </c>
      <c r="AJ29" s="12">
        <f t="shared" si="24"/>
        <v>21137</v>
      </c>
      <c r="AK29" s="12">
        <f t="shared" si="24"/>
        <v>20572</v>
      </c>
      <c r="AL29" s="12">
        <f t="shared" si="24"/>
        <v>20493</v>
      </c>
      <c r="AM29" s="12">
        <f t="shared" si="24"/>
        <v>19712</v>
      </c>
      <c r="AN29" s="12">
        <f t="shared" si="24"/>
        <v>19736</v>
      </c>
      <c r="AO29" s="12">
        <f t="shared" si="24"/>
        <v>21733</v>
      </c>
      <c r="AP29" s="12">
        <f t="shared" si="24"/>
        <v>24530</v>
      </c>
      <c r="AQ29" s="44">
        <f>+AQ27+AQ28</f>
        <v>21680</v>
      </c>
      <c r="AR29" s="12">
        <f t="shared" si="24"/>
        <v>21406</v>
      </c>
      <c r="AS29" s="12">
        <f t="shared" si="24"/>
        <v>22048.18</v>
      </c>
      <c r="AT29" s="12">
        <f t="shared" si="24"/>
        <v>22709.625400000001</v>
      </c>
      <c r="AU29" s="12">
        <f t="shared" si="24"/>
        <v>23390.914162000001</v>
      </c>
      <c r="AV29" s="12">
        <f t="shared" si="24"/>
        <v>24092.641586860002</v>
      </c>
      <c r="AW29" s="12">
        <f t="shared" si="24"/>
        <v>24815.420834465804</v>
      </c>
      <c r="AX29" s="12">
        <f t="shared" si="24"/>
        <v>25559.883459499779</v>
      </c>
      <c r="AY29" s="12">
        <f t="shared" si="24"/>
        <v>26326.679963284776</v>
      </c>
      <c r="AZ29" s="12">
        <f t="shared" si="24"/>
        <v>27116.48036218332</v>
      </c>
      <c r="BA29" s="12">
        <f>+BA27+BA28</f>
        <v>27929.974773048816</v>
      </c>
      <c r="BB29" s="12">
        <f>+BB27+BB28</f>
        <v>28767.874016240283</v>
      </c>
      <c r="BC29" s="12">
        <f>+BC27+BC28</f>
        <v>29630.91023672749</v>
      </c>
    </row>
    <row r="30" spans="2:55" x14ac:dyDescent="0.25">
      <c r="B30" t="s">
        <v>73</v>
      </c>
      <c r="C30" s="4">
        <f>+C26-C29</f>
        <v>7200</v>
      </c>
      <c r="D30" s="4">
        <f t="shared" ref="D30:P30" si="25">+D26-D29</f>
        <v>5706</v>
      </c>
      <c r="E30" s="4">
        <f t="shared" si="25"/>
        <v>5034</v>
      </c>
      <c r="F30" s="4">
        <f t="shared" si="25"/>
        <v>5936</v>
      </c>
      <c r="G30" s="4">
        <f t="shared" si="25"/>
        <v>5903</v>
      </c>
      <c r="H30" s="4">
        <f t="shared" si="25"/>
        <v>5892</v>
      </c>
      <c r="I30" s="4">
        <f t="shared" si="25"/>
        <v>5269</v>
      </c>
      <c r="J30" s="4">
        <f t="shared" si="25"/>
        <v>5018</v>
      </c>
      <c r="K30" s="4">
        <f t="shared" si="25"/>
        <v>3130</v>
      </c>
      <c r="L30" s="4">
        <f t="shared" si="25"/>
        <v>-613</v>
      </c>
      <c r="M30" s="4">
        <f t="shared" si="25"/>
        <v>489</v>
      </c>
      <c r="N30" s="4">
        <f t="shared" si="25"/>
        <v>-670</v>
      </c>
      <c r="O30" s="4">
        <f t="shared" si="25"/>
        <v>-1404</v>
      </c>
      <c r="P30" s="4">
        <f t="shared" si="25"/>
        <v>-816</v>
      </c>
      <c r="Q30" s="4">
        <f t="shared" ref="Q30:V30" si="26">+Q26-Q29</f>
        <v>808</v>
      </c>
      <c r="R30" s="4">
        <f t="shared" si="26"/>
        <v>1443</v>
      </c>
      <c r="S30" s="4">
        <f t="shared" si="26"/>
        <v>-721</v>
      </c>
      <c r="T30" s="21">
        <f t="shared" si="26"/>
        <v>-1021</v>
      </c>
      <c r="U30" s="10">
        <f t="shared" si="26"/>
        <v>50</v>
      </c>
      <c r="V30" s="10">
        <f t="shared" si="26"/>
        <v>796.15999999999985</v>
      </c>
      <c r="Y30" s="12">
        <f>+Y26-Y29</f>
        <v>12216</v>
      </c>
      <c r="Z30" s="12">
        <f t="shared" ref="Z30:AZ30" si="27">+Z26-Z29</f>
        <v>6249</v>
      </c>
      <c r="AA30" s="12">
        <f t="shared" si="27"/>
        <v>8748</v>
      </c>
      <c r="AB30" s="12">
        <f t="shared" si="27"/>
        <v>9664</v>
      </c>
      <c r="AC30" s="12">
        <f t="shared" si="27"/>
        <v>5977</v>
      </c>
      <c r="AD30" s="12">
        <f t="shared" si="27"/>
        <v>15606</v>
      </c>
      <c r="AE30" s="12">
        <f t="shared" si="27"/>
        <v>17737</v>
      </c>
      <c r="AF30" s="12">
        <f t="shared" si="27"/>
        <v>14946</v>
      </c>
      <c r="AG30" s="12">
        <f t="shared" si="27"/>
        <v>12822</v>
      </c>
      <c r="AH30" s="12">
        <f t="shared" si="27"/>
        <v>15936</v>
      </c>
      <c r="AI30" s="12">
        <f t="shared" si="27"/>
        <v>14621</v>
      </c>
      <c r="AJ30" s="12">
        <f t="shared" si="27"/>
        <v>15054</v>
      </c>
      <c r="AK30" s="12">
        <f t="shared" si="27"/>
        <v>18497</v>
      </c>
      <c r="AL30" s="12">
        <f t="shared" si="27"/>
        <v>23244</v>
      </c>
      <c r="AM30" s="12">
        <f t="shared" si="27"/>
        <v>22428</v>
      </c>
      <c r="AN30" s="12">
        <f t="shared" si="27"/>
        <v>23876</v>
      </c>
      <c r="AO30" s="12">
        <f t="shared" si="27"/>
        <v>22082</v>
      </c>
      <c r="AP30" s="12">
        <f t="shared" si="27"/>
        <v>2336</v>
      </c>
      <c r="AQ30" s="44">
        <f>+AQ26-AQ29</f>
        <v>31</v>
      </c>
      <c r="AR30" s="12">
        <f t="shared" si="27"/>
        <v>-895.84000000000015</v>
      </c>
      <c r="AS30" s="12">
        <f t="shared" si="27"/>
        <v>6117.1775840000009</v>
      </c>
      <c r="AT30" s="12">
        <f t="shared" si="27"/>
        <v>7432.7236298000025</v>
      </c>
      <c r="AU30" s="12">
        <f t="shared" si="27"/>
        <v>8917.9162043168762</v>
      </c>
      <c r="AV30" s="12">
        <f t="shared" si="27"/>
        <v>10471.710899369566</v>
      </c>
      <c r="AW30" s="12">
        <f t="shared" si="27"/>
        <v>12217.813972208736</v>
      </c>
      <c r="AX30" s="12">
        <f t="shared" si="27"/>
        <v>13325.013087508491</v>
      </c>
      <c r="AY30" s="12">
        <f t="shared" si="27"/>
        <v>16090.261353410089</v>
      </c>
      <c r="AZ30" s="12">
        <f t="shared" si="27"/>
        <v>18231.08599093774</v>
      </c>
      <c r="BA30" s="12">
        <f>+BA26-BA29</f>
        <v>20618.596263821964</v>
      </c>
      <c r="BB30" s="12">
        <f>+BB26-BB29</f>
        <v>22208.12557247404</v>
      </c>
      <c r="BC30" s="12">
        <f>+BC26-BC29</f>
        <v>24923.212400040822</v>
      </c>
    </row>
    <row r="31" spans="2:55" x14ac:dyDescent="0.25">
      <c r="B31" t="s">
        <v>74</v>
      </c>
      <c r="C31" s="4">
        <v>-313</v>
      </c>
      <c r="D31" s="4">
        <v>-29</v>
      </c>
      <c r="E31" s="4">
        <v>-74</v>
      </c>
      <c r="F31" s="4">
        <v>-88</v>
      </c>
      <c r="G31" s="4">
        <v>-156</v>
      </c>
      <c r="H31" s="4">
        <v>-96</v>
      </c>
      <c r="I31" s="4">
        <v>-76</v>
      </c>
      <c r="J31" s="4">
        <v>-154</v>
      </c>
      <c r="K31" s="4">
        <v>997</v>
      </c>
      <c r="L31" s="4">
        <v>-119</v>
      </c>
      <c r="M31" s="4">
        <v>138</v>
      </c>
      <c r="N31" s="4">
        <v>150</v>
      </c>
      <c r="O31" s="4">
        <v>141</v>
      </c>
      <c r="P31" s="4">
        <v>224</v>
      </c>
      <c r="Q31" s="4">
        <v>147</v>
      </c>
      <c r="R31" s="4">
        <v>117</v>
      </c>
      <c r="S31" s="4">
        <v>145</v>
      </c>
      <c r="T31" s="21">
        <v>80</v>
      </c>
      <c r="Y31" s="12">
        <v>-565</v>
      </c>
      <c r="Z31" s="12">
        <v>-1202</v>
      </c>
      <c r="AA31" s="12">
        <v>-793</v>
      </c>
      <c r="AB31" s="12">
        <v>-488</v>
      </c>
      <c r="AC31" s="12">
        <v>-163</v>
      </c>
      <c r="AD31" s="12">
        <v>-109</v>
      </c>
      <c r="AE31" s="12">
        <v>-192</v>
      </c>
      <c r="AF31" s="12">
        <v>-94</v>
      </c>
      <c r="AG31" s="12">
        <v>-151</v>
      </c>
      <c r="AH31" s="12">
        <v>43</v>
      </c>
      <c r="AI31" s="12">
        <v>-105</v>
      </c>
      <c r="AJ31" s="12">
        <v>-444</v>
      </c>
      <c r="AK31" s="12">
        <v>-235</v>
      </c>
      <c r="AL31" s="12">
        <v>126</v>
      </c>
      <c r="AM31" s="12">
        <v>484</v>
      </c>
      <c r="AN31" s="12">
        <v>-504</v>
      </c>
      <c r="AO31" s="12">
        <v>-482</v>
      </c>
      <c r="AP31" s="12">
        <v>1166</v>
      </c>
      <c r="AQ31" s="49">
        <f>SUM(O31:R31)</f>
        <v>629</v>
      </c>
      <c r="AR31" s="10">
        <f>SUM(S31:V31)</f>
        <v>225</v>
      </c>
      <c r="AV31" s="4">
        <f t="shared" ref="AV31:BC31" si="28">+AU45*$BF$43</f>
        <v>184.23610282855839</v>
      </c>
      <c r="AW31" s="4">
        <f t="shared" si="28"/>
        <v>271.614868246583</v>
      </c>
      <c r="AX31" s="4">
        <f t="shared" si="28"/>
        <v>374.02818473831661</v>
      </c>
      <c r="AY31" s="4">
        <f t="shared" si="28"/>
        <v>486.36032317074046</v>
      </c>
      <c r="AZ31" s="4">
        <f t="shared" si="28"/>
        <v>622.28862091870326</v>
      </c>
      <c r="BA31" s="4">
        <f t="shared" si="28"/>
        <v>776.88629273592608</v>
      </c>
      <c r="BB31" s="4">
        <f t="shared" si="28"/>
        <v>952.32924969970077</v>
      </c>
      <c r="BC31" s="4">
        <f t="shared" si="28"/>
        <v>1142.2449792415255</v>
      </c>
    </row>
    <row r="32" spans="2:55" x14ac:dyDescent="0.25">
      <c r="B32" t="s">
        <v>75</v>
      </c>
      <c r="C32" s="4">
        <f>+C30+C31</f>
        <v>6887</v>
      </c>
      <c r="D32" s="4">
        <f t="shared" ref="D32:K32" si="29">+D30+D31</f>
        <v>5677</v>
      </c>
      <c r="E32" s="4">
        <f t="shared" si="29"/>
        <v>4960</v>
      </c>
      <c r="F32" s="4">
        <f t="shared" si="29"/>
        <v>5848</v>
      </c>
      <c r="G32" s="4">
        <f t="shared" si="29"/>
        <v>5747</v>
      </c>
      <c r="H32" s="4">
        <f t="shared" si="29"/>
        <v>5796</v>
      </c>
      <c r="I32" s="4">
        <f t="shared" si="29"/>
        <v>5193</v>
      </c>
      <c r="J32" s="4">
        <f t="shared" si="29"/>
        <v>4864</v>
      </c>
      <c r="K32" s="4">
        <f t="shared" si="29"/>
        <v>4127</v>
      </c>
      <c r="L32" s="4">
        <f>+L30+L31</f>
        <v>-732</v>
      </c>
      <c r="M32" s="4">
        <f t="shared" ref="M32" si="30">+M30+M31</f>
        <v>627</v>
      </c>
      <c r="N32" s="4">
        <f t="shared" ref="N32" si="31">+N30+N31</f>
        <v>-520</v>
      </c>
      <c r="O32" s="4">
        <f t="shared" ref="O32" si="32">+O30+O31</f>
        <v>-1263</v>
      </c>
      <c r="P32" s="4">
        <f t="shared" ref="P32" si="33">+P30+P31</f>
        <v>-592</v>
      </c>
      <c r="Q32" s="4">
        <f t="shared" ref="Q32" si="34">+Q30+Q31</f>
        <v>955</v>
      </c>
      <c r="R32" s="4">
        <f t="shared" ref="R32" si="35">+R30+R31</f>
        <v>1560</v>
      </c>
      <c r="S32" s="4">
        <f t="shared" ref="S32" si="36">+S30+S31</f>
        <v>-576</v>
      </c>
      <c r="T32" s="21">
        <f t="shared" ref="T32" si="37">+T30+T31</f>
        <v>-941</v>
      </c>
      <c r="U32" s="10">
        <f>+U30+U31</f>
        <v>50</v>
      </c>
      <c r="V32" s="10">
        <f>+V30+V31</f>
        <v>796.15999999999985</v>
      </c>
      <c r="Y32" s="12">
        <v>11651</v>
      </c>
      <c r="Z32" s="12">
        <f>+Z30+Z31</f>
        <v>5047</v>
      </c>
      <c r="AA32" s="12">
        <f t="shared" ref="AA32:AZ32" si="38">+AA30+AA31</f>
        <v>7955</v>
      </c>
      <c r="AB32" s="12">
        <f t="shared" si="38"/>
        <v>9176</v>
      </c>
      <c r="AC32" s="12">
        <f t="shared" si="38"/>
        <v>5814</v>
      </c>
      <c r="AD32" s="12">
        <f t="shared" si="38"/>
        <v>15497</v>
      </c>
      <c r="AE32" s="12">
        <f t="shared" si="38"/>
        <v>17545</v>
      </c>
      <c r="AF32" s="12">
        <f t="shared" si="38"/>
        <v>14852</v>
      </c>
      <c r="AG32" s="12">
        <f t="shared" si="38"/>
        <v>12671</v>
      </c>
      <c r="AH32" s="12">
        <f t="shared" si="38"/>
        <v>15979</v>
      </c>
      <c r="AI32" s="12">
        <f t="shared" si="38"/>
        <v>14516</v>
      </c>
      <c r="AJ32" s="12">
        <f t="shared" si="38"/>
        <v>14610</v>
      </c>
      <c r="AK32" s="12">
        <f t="shared" si="38"/>
        <v>18262</v>
      </c>
      <c r="AL32" s="12">
        <f t="shared" si="38"/>
        <v>23370</v>
      </c>
      <c r="AM32" s="12">
        <f t="shared" si="38"/>
        <v>22912</v>
      </c>
      <c r="AN32" s="12">
        <f t="shared" si="38"/>
        <v>23372</v>
      </c>
      <c r="AO32" s="12">
        <f t="shared" si="38"/>
        <v>21600</v>
      </c>
      <c r="AP32" s="12">
        <f t="shared" si="38"/>
        <v>3502</v>
      </c>
      <c r="AQ32" s="44">
        <f t="shared" si="38"/>
        <v>660</v>
      </c>
      <c r="AR32" s="12">
        <f t="shared" si="38"/>
        <v>-670.84000000000015</v>
      </c>
      <c r="AS32" s="12">
        <f t="shared" si="38"/>
        <v>6117.1775840000009</v>
      </c>
      <c r="AT32" s="12">
        <f t="shared" si="38"/>
        <v>7432.7236298000025</v>
      </c>
      <c r="AU32" s="12">
        <f t="shared" si="38"/>
        <v>8917.9162043168762</v>
      </c>
      <c r="AV32" s="12">
        <f t="shared" si="38"/>
        <v>10655.947002198123</v>
      </c>
      <c r="AW32" s="12">
        <f t="shared" si="38"/>
        <v>12489.428840455319</v>
      </c>
      <c r="AX32" s="12">
        <f t="shared" si="38"/>
        <v>13699.041272246806</v>
      </c>
      <c r="AY32" s="12">
        <f t="shared" si="38"/>
        <v>16576.621676580831</v>
      </c>
      <c r="AZ32" s="12">
        <f t="shared" si="38"/>
        <v>18853.374611856441</v>
      </c>
      <c r="BA32" s="12">
        <f>+BA30+BA31</f>
        <v>21395.48255655789</v>
      </c>
      <c r="BB32" s="12">
        <f>+BB30+BB31</f>
        <v>23160.454822173742</v>
      </c>
      <c r="BC32" s="12">
        <f>+BC30+BC31</f>
        <v>26065.457379282347</v>
      </c>
    </row>
    <row r="33" spans="2:133 16383:16383" x14ac:dyDescent="0.25">
      <c r="B33" t="s">
        <v>76</v>
      </c>
      <c r="C33" s="4">
        <v>953</v>
      </c>
      <c r="D33" s="4">
        <v>830</v>
      </c>
      <c r="E33" s="4">
        <v>765</v>
      </c>
      <c r="F33" s="4">
        <v>1631</v>
      </c>
      <c r="G33" s="4">
        <v>545</v>
      </c>
      <c r="H33" s="4">
        <v>684</v>
      </c>
      <c r="I33" s="4">
        <v>35</v>
      </c>
      <c r="J33" s="4">
        <v>571</v>
      </c>
      <c r="K33" s="4">
        <v>1548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128</v>
      </c>
      <c r="S33" s="4">
        <v>0</v>
      </c>
      <c r="T33" s="21">
        <v>0</v>
      </c>
      <c r="Y33" s="12">
        <v>3946</v>
      </c>
      <c r="Z33" s="12">
        <v>2024</v>
      </c>
      <c r="AA33" s="12">
        <v>2190</v>
      </c>
      <c r="AB33" s="12">
        <v>2394</v>
      </c>
      <c r="AC33" s="12">
        <v>1335</v>
      </c>
      <c r="AD33" s="12">
        <v>4581</v>
      </c>
      <c r="AE33" s="12">
        <v>4839</v>
      </c>
      <c r="AF33" s="12">
        <v>3868</v>
      </c>
      <c r="AG33" s="12">
        <v>2991</v>
      </c>
      <c r="AH33" s="12">
        <v>4097</v>
      </c>
      <c r="AI33" s="12">
        <v>2792</v>
      </c>
      <c r="AJ33" s="12">
        <v>2620</v>
      </c>
      <c r="AK33" s="12">
        <v>0</v>
      </c>
      <c r="AL33" s="12">
        <v>2264</v>
      </c>
      <c r="AM33" s="12">
        <v>3010</v>
      </c>
      <c r="AN33" s="12">
        <v>4179</v>
      </c>
      <c r="AO33" s="12">
        <v>1835</v>
      </c>
      <c r="AP33" s="12">
        <v>-249</v>
      </c>
      <c r="AQ33" s="49">
        <f>SUM(O33:R33)</f>
        <v>128</v>
      </c>
      <c r="AR33" s="12">
        <v>0</v>
      </c>
      <c r="AS33" s="4">
        <f>+AS32*0.18</f>
        <v>1101.0919651200002</v>
      </c>
      <c r="AT33" s="4">
        <f t="shared" ref="AT33:BC33" si="39">+AT32*0.18</f>
        <v>1337.8902533640005</v>
      </c>
      <c r="AU33" s="4">
        <f t="shared" si="39"/>
        <v>1605.2249167770376</v>
      </c>
      <c r="AV33" s="4">
        <f t="shared" si="39"/>
        <v>1918.0704603956622</v>
      </c>
      <c r="AW33" s="4">
        <f t="shared" si="39"/>
        <v>2248.0971912819573</v>
      </c>
      <c r="AX33" s="4">
        <f t="shared" si="39"/>
        <v>2465.8274290044251</v>
      </c>
      <c r="AY33" s="4">
        <f t="shared" si="39"/>
        <v>2983.7919017845497</v>
      </c>
      <c r="AZ33" s="4">
        <f t="shared" si="39"/>
        <v>3393.6074301341591</v>
      </c>
      <c r="BA33" s="4">
        <f t="shared" si="39"/>
        <v>3851.1868601804199</v>
      </c>
      <c r="BB33" s="4">
        <f t="shared" si="39"/>
        <v>4168.8818679912738</v>
      </c>
      <c r="BC33" s="4">
        <f t="shared" si="39"/>
        <v>4691.7823282708223</v>
      </c>
    </row>
    <row r="34" spans="2:133 16383:16383" x14ac:dyDescent="0.25">
      <c r="B34" t="s">
        <v>77</v>
      </c>
      <c r="C34" s="5">
        <f>+C32-C33</f>
        <v>5934</v>
      </c>
      <c r="D34" s="5">
        <f t="shared" ref="D34:P34" si="40">+D32-D33</f>
        <v>4847</v>
      </c>
      <c r="E34" s="5">
        <f t="shared" si="40"/>
        <v>4195</v>
      </c>
      <c r="F34" s="5">
        <f t="shared" si="40"/>
        <v>4217</v>
      </c>
      <c r="G34" s="5">
        <f t="shared" si="40"/>
        <v>5202</v>
      </c>
      <c r="H34" s="5">
        <f t="shared" si="40"/>
        <v>5112</v>
      </c>
      <c r="I34" s="5">
        <f t="shared" si="40"/>
        <v>5158</v>
      </c>
      <c r="J34" s="5">
        <f t="shared" si="40"/>
        <v>4293</v>
      </c>
      <c r="K34" s="5">
        <f t="shared" si="40"/>
        <v>2579</v>
      </c>
      <c r="L34" s="5">
        <f t="shared" si="40"/>
        <v>-732</v>
      </c>
      <c r="M34" s="5">
        <f t="shared" si="40"/>
        <v>627</v>
      </c>
      <c r="N34" s="5">
        <f t="shared" si="40"/>
        <v>-520</v>
      </c>
      <c r="O34" s="5">
        <f t="shared" si="40"/>
        <v>-1263</v>
      </c>
      <c r="P34" s="5">
        <f t="shared" si="40"/>
        <v>-592</v>
      </c>
      <c r="Q34" s="5">
        <f t="shared" ref="Q34:V34" si="41">+Q32-Q33</f>
        <v>955</v>
      </c>
      <c r="R34" s="5">
        <f t="shared" si="41"/>
        <v>1432</v>
      </c>
      <c r="S34" s="5">
        <f t="shared" si="41"/>
        <v>-576</v>
      </c>
      <c r="T34" s="5">
        <f t="shared" si="41"/>
        <v>-941</v>
      </c>
      <c r="U34" s="10">
        <f t="shared" si="41"/>
        <v>50</v>
      </c>
      <c r="V34" s="10">
        <f t="shared" si="41"/>
        <v>796.15999999999985</v>
      </c>
      <c r="Y34" s="12">
        <f>Y32-Y33</f>
        <v>7705</v>
      </c>
      <c r="Z34" s="12">
        <f t="shared" ref="Z34:AZ34" si="42">Z32-Z33</f>
        <v>3023</v>
      </c>
      <c r="AA34" s="12">
        <f t="shared" si="42"/>
        <v>5765</v>
      </c>
      <c r="AB34" s="12">
        <f t="shared" si="42"/>
        <v>6782</v>
      </c>
      <c r="AC34" s="12">
        <f t="shared" si="42"/>
        <v>4479</v>
      </c>
      <c r="AD34" s="12">
        <f t="shared" si="42"/>
        <v>10916</v>
      </c>
      <c r="AE34" s="12">
        <f t="shared" si="42"/>
        <v>12706</v>
      </c>
      <c r="AF34" s="12">
        <f t="shared" si="42"/>
        <v>10984</v>
      </c>
      <c r="AG34" s="12">
        <f t="shared" si="42"/>
        <v>9680</v>
      </c>
      <c r="AH34" s="12">
        <f t="shared" si="42"/>
        <v>11882</v>
      </c>
      <c r="AI34" s="12">
        <f t="shared" si="42"/>
        <v>11724</v>
      </c>
      <c r="AJ34" s="12">
        <f t="shared" si="42"/>
        <v>11990</v>
      </c>
      <c r="AK34" s="12">
        <f t="shared" si="42"/>
        <v>18262</v>
      </c>
      <c r="AL34" s="12">
        <f t="shared" si="42"/>
        <v>21106</v>
      </c>
      <c r="AM34" s="12">
        <f t="shared" si="42"/>
        <v>19902</v>
      </c>
      <c r="AN34" s="12">
        <f t="shared" si="42"/>
        <v>19193</v>
      </c>
      <c r="AO34" s="12">
        <f t="shared" si="42"/>
        <v>19765</v>
      </c>
      <c r="AP34" s="12">
        <f t="shared" si="42"/>
        <v>3751</v>
      </c>
      <c r="AQ34" s="44">
        <f t="shared" si="42"/>
        <v>532</v>
      </c>
      <c r="AR34" s="12">
        <f t="shared" si="42"/>
        <v>-670.84000000000015</v>
      </c>
      <c r="AS34" s="12">
        <f t="shared" si="42"/>
        <v>5016.0856188800008</v>
      </c>
      <c r="AT34" s="12">
        <f t="shared" si="42"/>
        <v>6094.8333764360023</v>
      </c>
      <c r="AU34" s="12">
        <f t="shared" si="42"/>
        <v>7312.6912875398384</v>
      </c>
      <c r="AV34" s="12">
        <f t="shared" si="42"/>
        <v>8737.8765418024614</v>
      </c>
      <c r="AW34" s="12">
        <f t="shared" si="42"/>
        <v>10241.331649173362</v>
      </c>
      <c r="AX34" s="12">
        <f t="shared" si="42"/>
        <v>11233.213843242382</v>
      </c>
      <c r="AY34" s="12">
        <f t="shared" si="42"/>
        <v>13592.829774796282</v>
      </c>
      <c r="AZ34" s="12">
        <f t="shared" si="42"/>
        <v>15459.767181722282</v>
      </c>
      <c r="BA34" s="12">
        <f>BA32-BA33</f>
        <v>17544.29569637747</v>
      </c>
      <c r="BB34" s="12">
        <f>BB32-BB33</f>
        <v>18991.572954182469</v>
      </c>
      <c r="BC34" s="12">
        <f>BC32-BC33</f>
        <v>21373.675051011523</v>
      </c>
      <c r="BD34" s="12">
        <f>+BC34*(1+$BF$45)</f>
        <v>21587.411801521637</v>
      </c>
      <c r="BE34" s="12">
        <f t="shared" ref="BE34:DP34" si="43">+BD34*(1+$BF$45)</f>
        <v>21803.285919536855</v>
      </c>
      <c r="BF34" s="12">
        <f t="shared" si="43"/>
        <v>22021.318778732224</v>
      </c>
      <c r="BG34" s="12">
        <f t="shared" si="43"/>
        <v>22241.531966519546</v>
      </c>
      <c r="BH34" s="12">
        <f t="shared" si="43"/>
        <v>22463.947286184743</v>
      </c>
      <c r="BI34" s="12">
        <f t="shared" si="43"/>
        <v>22688.58675904659</v>
      </c>
      <c r="BJ34" s="12">
        <f t="shared" si="43"/>
        <v>22915.472626637056</v>
      </c>
      <c r="BK34" s="12">
        <f t="shared" si="43"/>
        <v>23144.627352903426</v>
      </c>
      <c r="BL34" s="12">
        <f t="shared" si="43"/>
        <v>23376.073626432462</v>
      </c>
      <c r="BM34" s="12">
        <f t="shared" si="43"/>
        <v>23609.834362696787</v>
      </c>
      <c r="BN34" s="12">
        <f t="shared" si="43"/>
        <v>23845.932706323754</v>
      </c>
      <c r="BO34" s="12">
        <f t="shared" si="43"/>
        <v>24084.392033386994</v>
      </c>
      <c r="BP34" s="12">
        <f t="shared" si="43"/>
        <v>24325.235953720865</v>
      </c>
      <c r="BQ34" s="12">
        <f t="shared" si="43"/>
        <v>24568.488313258073</v>
      </c>
      <c r="BR34" s="12">
        <f t="shared" si="43"/>
        <v>24814.173196390653</v>
      </c>
      <c r="BS34" s="12">
        <f t="shared" si="43"/>
        <v>25062.314928354561</v>
      </c>
      <c r="BT34" s="12">
        <f t="shared" si="43"/>
        <v>25312.938077638108</v>
      </c>
      <c r="BU34" s="12">
        <f t="shared" si="43"/>
        <v>25566.067458414487</v>
      </c>
      <c r="BV34" s="12">
        <f t="shared" si="43"/>
        <v>25821.728132998633</v>
      </c>
      <c r="BW34" s="12">
        <f t="shared" si="43"/>
        <v>26079.94541432862</v>
      </c>
      <c r="BX34" s="12">
        <f t="shared" si="43"/>
        <v>26340.744868471906</v>
      </c>
      <c r="BY34" s="12">
        <f t="shared" si="43"/>
        <v>26604.152317156626</v>
      </c>
      <c r="BZ34" s="12">
        <f t="shared" si="43"/>
        <v>26870.193840328193</v>
      </c>
      <c r="CA34" s="12">
        <f t="shared" si="43"/>
        <v>27138.895778731476</v>
      </c>
      <c r="CB34" s="12">
        <f t="shared" si="43"/>
        <v>27410.284736518792</v>
      </c>
      <c r="CC34" s="12">
        <f t="shared" si="43"/>
        <v>27684.387583883981</v>
      </c>
      <c r="CD34" s="12">
        <f t="shared" si="43"/>
        <v>27961.231459722821</v>
      </c>
      <c r="CE34" s="12">
        <f t="shared" si="43"/>
        <v>28240.843774320048</v>
      </c>
      <c r="CF34" s="12">
        <f t="shared" si="43"/>
        <v>28523.252212063249</v>
      </c>
      <c r="CG34" s="12">
        <f t="shared" si="43"/>
        <v>28808.484734183883</v>
      </c>
      <c r="CH34" s="12">
        <f t="shared" si="43"/>
        <v>29096.56958152572</v>
      </c>
      <c r="CI34" s="12">
        <f t="shared" si="43"/>
        <v>29387.53527734098</v>
      </c>
      <c r="CJ34" s="12">
        <f t="shared" si="43"/>
        <v>29681.410630114391</v>
      </c>
      <c r="CK34" s="12">
        <f t="shared" si="43"/>
        <v>29978.224736415534</v>
      </c>
      <c r="CL34" s="12">
        <f t="shared" si="43"/>
        <v>30278.006983779691</v>
      </c>
      <c r="CM34" s="12">
        <f t="shared" si="43"/>
        <v>30580.787053617489</v>
      </c>
      <c r="CN34" s="12">
        <f t="shared" si="43"/>
        <v>30886.594924153665</v>
      </c>
      <c r="CO34" s="12">
        <f t="shared" si="43"/>
        <v>31195.460873395201</v>
      </c>
      <c r="CP34" s="12">
        <f t="shared" si="43"/>
        <v>31507.415482129152</v>
      </c>
      <c r="CQ34" s="12">
        <f t="shared" si="43"/>
        <v>31822.489636950442</v>
      </c>
      <c r="CR34" s="12">
        <f t="shared" si="43"/>
        <v>32140.714533319948</v>
      </c>
      <c r="CS34" s="12">
        <f t="shared" si="43"/>
        <v>32462.121678653148</v>
      </c>
      <c r="CT34" s="12">
        <f t="shared" si="43"/>
        <v>32786.742895439682</v>
      </c>
      <c r="CU34" s="12">
        <f t="shared" si="43"/>
        <v>33114.610324394082</v>
      </c>
      <c r="CV34" s="12">
        <f t="shared" si="43"/>
        <v>33445.756427638022</v>
      </c>
      <c r="CW34" s="12">
        <f t="shared" si="43"/>
        <v>33780.213991914403</v>
      </c>
      <c r="CX34" s="12">
        <f t="shared" si="43"/>
        <v>34118.016131833545</v>
      </c>
      <c r="CY34" s="12">
        <f t="shared" si="43"/>
        <v>34459.196293151879</v>
      </c>
      <c r="CZ34" s="12">
        <f t="shared" si="43"/>
        <v>34803.788256083397</v>
      </c>
      <c r="DA34" s="12">
        <f t="shared" si="43"/>
        <v>35151.826138644232</v>
      </c>
      <c r="DB34" s="12">
        <f t="shared" si="43"/>
        <v>35503.344400030677</v>
      </c>
      <c r="DC34" s="12">
        <f t="shared" si="43"/>
        <v>35858.377844030983</v>
      </c>
      <c r="DD34" s="12">
        <f t="shared" si="43"/>
        <v>36216.961622471295</v>
      </c>
      <c r="DE34" s="12">
        <f t="shared" si="43"/>
        <v>36579.131238696005</v>
      </c>
      <c r="DF34" s="12">
        <f t="shared" si="43"/>
        <v>36944.922551082964</v>
      </c>
      <c r="DG34" s="12">
        <f t="shared" si="43"/>
        <v>37314.371776593791</v>
      </c>
      <c r="DH34" s="12">
        <f t="shared" si="43"/>
        <v>37687.51549435973</v>
      </c>
      <c r="DI34" s="12">
        <f t="shared" si="43"/>
        <v>38064.390649303328</v>
      </c>
      <c r="DJ34" s="12">
        <f t="shared" si="43"/>
        <v>38445.034555796359</v>
      </c>
      <c r="DK34" s="12">
        <f t="shared" si="43"/>
        <v>38829.484901354321</v>
      </c>
      <c r="DL34" s="12">
        <f t="shared" si="43"/>
        <v>39217.779750367867</v>
      </c>
      <c r="DM34" s="12">
        <f t="shared" si="43"/>
        <v>39609.957547871549</v>
      </c>
      <c r="DN34" s="12">
        <f t="shared" si="43"/>
        <v>40006.057123350263</v>
      </c>
      <c r="DO34" s="12">
        <f t="shared" si="43"/>
        <v>40406.117694583765</v>
      </c>
      <c r="DP34" s="12">
        <f t="shared" si="43"/>
        <v>40810.178871529606</v>
      </c>
      <c r="DQ34" s="12">
        <f t="shared" ref="DQ34:EC34" si="44">+DP34*(1+$BF$45)</f>
        <v>41218.280660244905</v>
      </c>
      <c r="DR34" s="12">
        <f t="shared" si="44"/>
        <v>41630.463466847352</v>
      </c>
      <c r="DS34" s="12">
        <f t="shared" si="44"/>
        <v>42046.768101515823</v>
      </c>
      <c r="DT34" s="12">
        <f t="shared" si="44"/>
        <v>42467.235782530981</v>
      </c>
      <c r="DU34" s="12">
        <f t="shared" si="44"/>
        <v>42891.908140356289</v>
      </c>
      <c r="DV34" s="12">
        <f t="shared" si="44"/>
        <v>43320.82722175985</v>
      </c>
      <c r="DW34" s="12">
        <f t="shared" si="44"/>
        <v>43754.035493977448</v>
      </c>
      <c r="DX34" s="12">
        <f t="shared" si="44"/>
        <v>44191.575848917222</v>
      </c>
      <c r="DY34" s="12">
        <f t="shared" si="44"/>
        <v>44633.491607406395</v>
      </c>
      <c r="DZ34" s="12">
        <f t="shared" si="44"/>
        <v>45079.826523480457</v>
      </c>
      <c r="EA34" s="12">
        <f t="shared" si="44"/>
        <v>45530.624788715264</v>
      </c>
      <c r="EB34" s="12">
        <f t="shared" si="44"/>
        <v>45985.931036602415</v>
      </c>
      <c r="EC34" s="12">
        <f t="shared" si="44"/>
        <v>46445.790346968439</v>
      </c>
    </row>
    <row r="35" spans="2:133 16383:16383" x14ac:dyDescent="0.25">
      <c r="B35" t="s">
        <v>78</v>
      </c>
      <c r="C35" s="6">
        <f>+C34/C36</f>
        <v>1.3761595547309833</v>
      </c>
      <c r="D35" s="6">
        <f t="shared" ref="D35:P35" si="45">+D34/D36</f>
        <v>1.1314192343604108</v>
      </c>
      <c r="E35" s="6">
        <f t="shared" si="45"/>
        <v>0.99620042745191162</v>
      </c>
      <c r="F35" s="6">
        <f t="shared" si="45"/>
        <v>0.99645557655954631</v>
      </c>
      <c r="G35" s="6">
        <f t="shared" si="45"/>
        <v>1.27001953125</v>
      </c>
      <c r="H35" s="6">
        <f t="shared" si="45"/>
        <v>1.2517140058765917</v>
      </c>
      <c r="I35" s="6">
        <f t="shared" si="45"/>
        <v>1.2623592755751345</v>
      </c>
      <c r="J35" s="6">
        <f t="shared" si="45"/>
        <v>1.0483516483516484</v>
      </c>
      <c r="K35" s="6">
        <f t="shared" si="45"/>
        <v>0.62795227660092523</v>
      </c>
      <c r="L35" s="6">
        <f t="shared" si="45"/>
        <v>-0.17853658536585365</v>
      </c>
      <c r="M35" s="6">
        <f t="shared" si="45"/>
        <v>0.152</v>
      </c>
      <c r="N35" s="6">
        <f t="shared" si="45"/>
        <v>-0.12581659811275103</v>
      </c>
      <c r="O35" s="6">
        <f t="shared" si="45"/>
        <v>-0.3040442946557535</v>
      </c>
      <c r="P35" s="6">
        <f t="shared" si="45"/>
        <v>-0.14108674928503337</v>
      </c>
      <c r="Q35" s="6">
        <f t="shared" ref="Q35:V35" si="46">+Q34/Q36</f>
        <v>0.22582170725939937</v>
      </c>
      <c r="R35" s="6">
        <f t="shared" si="46"/>
        <v>0.33615023474178402</v>
      </c>
      <c r="S35" s="6">
        <f t="shared" si="46"/>
        <v>-0.13578500707213578</v>
      </c>
      <c r="T35" s="6">
        <f t="shared" si="46"/>
        <v>-0.22052964612139678</v>
      </c>
      <c r="U35" s="22">
        <f t="shared" si="46"/>
        <v>1.1717834544176237E-2</v>
      </c>
      <c r="V35" s="22">
        <f t="shared" si="46"/>
        <v>0.18658542301382702</v>
      </c>
      <c r="Y35" s="13">
        <f>+Y34/Y36</f>
        <v>1.2471673680802848</v>
      </c>
      <c r="Z35" s="13">
        <f t="shared" ref="Z35:AZ35" si="47">+Z34/Z36</f>
        <v>0.51411564625850337</v>
      </c>
      <c r="AA35" s="13">
        <f t="shared" si="47"/>
        <v>0.97119272237196763</v>
      </c>
      <c r="AB35" s="13">
        <f t="shared" si="47"/>
        <v>1.1798886569241476</v>
      </c>
      <c r="AC35" s="13">
        <f t="shared" si="47"/>
        <v>0.79344552701505755</v>
      </c>
      <c r="AD35" s="13">
        <f t="shared" si="47"/>
        <v>1.916432584269663</v>
      </c>
      <c r="AE35" s="13">
        <f t="shared" si="47"/>
        <v>2.3481796340787287</v>
      </c>
      <c r="AF35" s="13">
        <f t="shared" si="47"/>
        <v>2.1286821705426355</v>
      </c>
      <c r="AG35" s="13">
        <f t="shared" si="47"/>
        <v>1.8991563664900921</v>
      </c>
      <c r="AH35" s="13">
        <f t="shared" si="47"/>
        <v>2.3500791139240507</v>
      </c>
      <c r="AI35" s="13">
        <f t="shared" si="47"/>
        <v>2.3955864323661626</v>
      </c>
      <c r="AJ35" s="13">
        <f t="shared" si="47"/>
        <v>2.4594871794871795</v>
      </c>
      <c r="AK35" s="13">
        <f t="shared" si="47"/>
        <v>3.7770423991726991</v>
      </c>
      <c r="AL35" s="13">
        <f t="shared" si="47"/>
        <v>4.4896830461603914</v>
      </c>
      <c r="AM35" s="13">
        <f t="shared" si="47"/>
        <v>4.4493628437290411</v>
      </c>
      <c r="AN35" s="13">
        <f t="shared" si="47"/>
        <v>4.5352079395085063</v>
      </c>
      <c r="AO35" s="13">
        <f t="shared" si="47"/>
        <v>4.8325183374083132</v>
      </c>
      <c r="AP35" s="13">
        <f t="shared" si="47"/>
        <v>0.90977443609022557</v>
      </c>
      <c r="AQ35" s="50">
        <f t="shared" si="47"/>
        <v>0.12637330007720174</v>
      </c>
      <c r="AR35" s="13">
        <f t="shared" si="47"/>
        <v>-0.15743722130955179</v>
      </c>
      <c r="AS35" s="13">
        <f t="shared" si="47"/>
        <v>1.1772085470265197</v>
      </c>
      <c r="AT35" s="13">
        <f t="shared" si="47"/>
        <v>1.4303762911138236</v>
      </c>
      <c r="AU35" s="13">
        <f t="shared" si="47"/>
        <v>1.7161913371367845</v>
      </c>
      <c r="AV35" s="13">
        <f t="shared" si="47"/>
        <v>2.0506633517489936</v>
      </c>
      <c r="AW35" s="13">
        <f t="shared" si="47"/>
        <v>2.4035042593694818</v>
      </c>
      <c r="AX35" s="13">
        <f t="shared" si="47"/>
        <v>2.6362858116034689</v>
      </c>
      <c r="AY35" s="13">
        <f t="shared" si="47"/>
        <v>3.1900562719540675</v>
      </c>
      <c r="AZ35" s="13">
        <f t="shared" si="47"/>
        <v>3.6282016385173157</v>
      </c>
      <c r="BA35" s="13">
        <f>+BA34/BA36</f>
        <v>4.1174127426372849</v>
      </c>
      <c r="BB35" s="13">
        <f>+BB34/BB36</f>
        <v>4.4570694565084414</v>
      </c>
      <c r="BC35" s="13">
        <f>+BC34/BC36</f>
        <v>5.016117120631665</v>
      </c>
    </row>
    <row r="36" spans="2:133 16383:16383" x14ac:dyDescent="0.25">
      <c r="B36" t="s">
        <v>12</v>
      </c>
      <c r="C36" s="4">
        <v>4312</v>
      </c>
      <c r="D36" s="4">
        <v>4284</v>
      </c>
      <c r="E36" s="4">
        <v>4211</v>
      </c>
      <c r="F36" s="4">
        <v>4232</v>
      </c>
      <c r="G36" s="4">
        <v>4096</v>
      </c>
      <c r="H36" s="4">
        <v>4084</v>
      </c>
      <c r="I36" s="4">
        <v>4086</v>
      </c>
      <c r="J36" s="4">
        <v>4095</v>
      </c>
      <c r="K36" s="4">
        <v>4107</v>
      </c>
      <c r="L36" s="4">
        <v>4100</v>
      </c>
      <c r="M36" s="4">
        <v>4125</v>
      </c>
      <c r="N36" s="4">
        <v>4133</v>
      </c>
      <c r="O36" s="4">
        <v>4154</v>
      </c>
      <c r="P36" s="4">
        <v>4196</v>
      </c>
      <c r="Q36" s="4">
        <v>4229</v>
      </c>
      <c r="R36" s="4">
        <v>4260</v>
      </c>
      <c r="S36" s="4">
        <v>4242</v>
      </c>
      <c r="T36" s="21">
        <v>4267</v>
      </c>
      <c r="U36" s="20">
        <v>4267</v>
      </c>
      <c r="V36" s="20">
        <v>4267</v>
      </c>
      <c r="Y36" s="12">
        <v>6178</v>
      </c>
      <c r="Z36" s="12">
        <v>5880</v>
      </c>
      <c r="AA36" s="12">
        <v>5936</v>
      </c>
      <c r="AB36" s="12">
        <v>5748</v>
      </c>
      <c r="AC36" s="12">
        <v>5645</v>
      </c>
      <c r="AD36" s="12">
        <v>5696</v>
      </c>
      <c r="AE36" s="12">
        <v>5411</v>
      </c>
      <c r="AF36" s="12">
        <v>5160</v>
      </c>
      <c r="AG36" s="12">
        <v>5097</v>
      </c>
      <c r="AH36" s="12">
        <v>5056</v>
      </c>
      <c r="AI36" s="12">
        <v>4894</v>
      </c>
      <c r="AJ36" s="12">
        <v>4875</v>
      </c>
      <c r="AK36" s="12">
        <v>4835</v>
      </c>
      <c r="AL36" s="12">
        <v>4701</v>
      </c>
      <c r="AM36" s="12">
        <v>4473</v>
      </c>
      <c r="AN36" s="12">
        <v>4232</v>
      </c>
      <c r="AO36" s="12">
        <v>4090</v>
      </c>
      <c r="AP36" s="12">
        <v>4123</v>
      </c>
      <c r="AQ36" s="49">
        <f>AVERAGE(O36:R36)</f>
        <v>4209.75</v>
      </c>
      <c r="AR36" s="12">
        <v>4261</v>
      </c>
      <c r="AS36" s="12">
        <v>4261</v>
      </c>
      <c r="AT36" s="12">
        <v>4261</v>
      </c>
      <c r="AU36" s="12">
        <v>4261</v>
      </c>
      <c r="AV36" s="12">
        <v>4261</v>
      </c>
      <c r="AW36" s="12">
        <v>4261</v>
      </c>
      <c r="AX36" s="12">
        <v>4261</v>
      </c>
      <c r="AY36" s="12">
        <v>4261</v>
      </c>
      <c r="AZ36" s="12">
        <v>4261</v>
      </c>
      <c r="BA36" s="12">
        <v>4261</v>
      </c>
      <c r="BB36" s="12">
        <v>4261</v>
      </c>
      <c r="BC36" s="12">
        <v>4261</v>
      </c>
      <c r="XFC36" s="12"/>
    </row>
    <row r="37" spans="2:133 16383:16383" x14ac:dyDescent="0.25">
      <c r="Y37" s="12"/>
    </row>
    <row r="38" spans="2:133 16383:16383" x14ac:dyDescent="0.25">
      <c r="B38" s="2" t="s">
        <v>79</v>
      </c>
      <c r="F38" s="9"/>
      <c r="G38" s="9">
        <f>+G24/C24-1</f>
        <v>-7.817228162194878E-3</v>
      </c>
      <c r="H38" s="9">
        <f>+H24/D24-1</f>
        <v>-4.9168694241686905E-3</v>
      </c>
      <c r="I38" s="8">
        <f>+I24/E24-1</f>
        <v>4.6855397370861196E-2</v>
      </c>
      <c r="J38" s="8">
        <f>+J24/F24-1</f>
        <v>2.7530283311642867E-2</v>
      </c>
      <c r="K38" s="8">
        <f t="shared" ref="K38:P38" si="48">+K24/G24-1</f>
        <v>-6.7097036547552502E-2</v>
      </c>
      <c r="L38" s="8">
        <f t="shared" si="48"/>
        <v>-0.2195507106107687</v>
      </c>
      <c r="M38" s="8">
        <f t="shared" si="48"/>
        <v>-0.20081283868278454</v>
      </c>
      <c r="N38" s="8">
        <f>+N24/J24-1</f>
        <v>-0.31595869056897896</v>
      </c>
      <c r="O38" s="8">
        <f t="shared" si="48"/>
        <v>-0.36168473818994173</v>
      </c>
      <c r="P38" s="8">
        <f t="shared" si="48"/>
        <v>-0.15482018145029697</v>
      </c>
      <c r="Q38" s="8">
        <f>+Q24/M24-1</f>
        <v>-7.6933107315164895E-2</v>
      </c>
      <c r="R38" s="8">
        <f t="shared" ref="R38:V38" si="49">+R24/N24-1</f>
        <v>9.7137159948725182E-2</v>
      </c>
      <c r="S38" s="8">
        <f t="shared" si="49"/>
        <v>8.6128894579598825E-2</v>
      </c>
      <c r="T38" s="53">
        <f t="shared" si="49"/>
        <v>-8.9582207120241231E-3</v>
      </c>
      <c r="U38" s="8">
        <f t="shared" si="49"/>
        <v>-8.1791213448227151E-2</v>
      </c>
      <c r="V38" s="8">
        <f t="shared" si="49"/>
        <v>-9.9999999999999978E-2</v>
      </c>
      <c r="Z38" s="15">
        <f t="shared" ref="Z38:AZ38" si="50">+Z24/Y24-1</f>
        <v>-8.8703446144336229E-2</v>
      </c>
      <c r="AA38" s="15">
        <f t="shared" si="50"/>
        <v>8.3432253688316083E-2</v>
      </c>
      <c r="AB38" s="15">
        <f t="shared" si="50"/>
        <v>-1.9512704126884772E-2</v>
      </c>
      <c r="AC38" s="15">
        <f t="shared" si="50"/>
        <v>-6.5423295908050849E-2</v>
      </c>
      <c r="AD38" s="15">
        <f t="shared" si="50"/>
        <v>0.2418652318729182</v>
      </c>
      <c r="AE38" s="15">
        <f t="shared" si="50"/>
        <v>0.2378561767874745</v>
      </c>
      <c r="AF38" s="15">
        <f t="shared" si="50"/>
        <v>-1.2185410840941491E-2</v>
      </c>
      <c r="AG38" s="15">
        <f t="shared" si="50"/>
        <v>-1.1867044112408798E-2</v>
      </c>
      <c r="AH38" s="15">
        <f t="shared" si="50"/>
        <v>5.9990893223040187E-2</v>
      </c>
      <c r="AI38" s="15">
        <f t="shared" si="50"/>
        <v>-9.2178270986218447E-3</v>
      </c>
      <c r="AJ38" s="15">
        <f t="shared" si="50"/>
        <v>7.283894860446205E-2</v>
      </c>
      <c r="AK38" s="15">
        <f t="shared" si="50"/>
        <v>5.6813780793776525E-2</v>
      </c>
      <c r="AL38" s="15">
        <f t="shared" si="50"/>
        <v>0.12885390608817571</v>
      </c>
      <c r="AM38" s="15">
        <f t="shared" si="50"/>
        <v>1.576614724480585E-2</v>
      </c>
      <c r="AN38" s="15">
        <f t="shared" si="50"/>
        <v>8.2012089210032668E-2</v>
      </c>
      <c r="AO38" s="15">
        <f t="shared" si="50"/>
        <v>1.4858669269395275E-2</v>
      </c>
      <c r="AP38" s="15">
        <f t="shared" si="50"/>
        <v>-0.20209050415063778</v>
      </c>
      <c r="AQ38" s="51">
        <f t="shared" si="50"/>
        <v>-0.13997525930155108</v>
      </c>
      <c r="AR38" s="15">
        <f t="shared" si="50"/>
        <v>-3.329645201740794E-2</v>
      </c>
      <c r="AS38" s="15">
        <f t="shared" si="50"/>
        <v>0.11932739248870727</v>
      </c>
      <c r="AT38" s="15">
        <f t="shared" si="50"/>
        <v>7.0192307692307665E-2</v>
      </c>
      <c r="AU38" s="15">
        <f t="shared" si="50"/>
        <v>4.9999999999999822E-2</v>
      </c>
      <c r="AV38" s="15">
        <f t="shared" si="50"/>
        <v>6.9811320754717077E-2</v>
      </c>
      <c r="AW38" s="15">
        <f t="shared" si="50"/>
        <v>5.0000000000000044E-2</v>
      </c>
      <c r="AX38" s="15">
        <f t="shared" si="50"/>
        <v>5.0000000000000044E-2</v>
      </c>
      <c r="AY38" s="15">
        <f t="shared" si="50"/>
        <v>6.9444444444444642E-2</v>
      </c>
      <c r="AZ38" s="15">
        <f t="shared" si="50"/>
        <v>6.9090909090909092E-2</v>
      </c>
      <c r="BA38" s="15">
        <f t="shared" ref="BA38" si="51">+BA24/AZ24-1</f>
        <v>4.9999999999999822E-2</v>
      </c>
      <c r="BB38" s="15">
        <f t="shared" ref="BB38" si="52">+BB24/BA24-1</f>
        <v>5.0000000000000044E-2</v>
      </c>
      <c r="BC38" s="15">
        <f t="shared" ref="BC38" si="53">+BC24/BB24-1</f>
        <v>5.0000000000000044E-2</v>
      </c>
    </row>
    <row r="39" spans="2:133 16383:16383" x14ac:dyDescent="0.25">
      <c r="B39" s="2" t="s">
        <v>80</v>
      </c>
      <c r="AA39" s="15">
        <f>+AA12/Z12-1</f>
        <v>0.13895740144642765</v>
      </c>
      <c r="AB39" s="15">
        <f t="shared" ref="AB39:AQ39" si="54">+AB12/AA12-1</f>
        <v>6.7351807671132358E-2</v>
      </c>
      <c r="AC39" s="15">
        <f t="shared" si="54"/>
        <v>6.0316368638239304E-2</v>
      </c>
      <c r="AD39" s="15">
        <f t="shared" si="54"/>
        <v>0.13802944801193484</v>
      </c>
      <c r="AE39" s="15">
        <f t="shared" si="54"/>
        <v>4.1208321459105246E-2</v>
      </c>
      <c r="AF39" s="15">
        <f t="shared" si="54"/>
        <v>-3.9139478870155453E-2</v>
      </c>
      <c r="AG39" s="15">
        <f t="shared" si="54"/>
        <v>-9.8558650942858872E-2</v>
      </c>
      <c r="AH39" s="15">
        <f t="shared" si="54"/>
        <v>-8.7846805283446905E-3</v>
      </c>
      <c r="AI39" s="15">
        <f t="shared" si="54"/>
        <v>-8.2887018617699537E-2</v>
      </c>
      <c r="AJ39" s="15">
        <f t="shared" si="54"/>
        <v>-6.2430478309232429E-2</v>
      </c>
      <c r="AK39" s="15">
        <f t="shared" si="54"/>
        <v>-2.610114192495927E-2</v>
      </c>
      <c r="AL39" s="15">
        <f t="shared" si="54"/>
        <v>-1.1116186995584032E-2</v>
      </c>
      <c r="AM39" s="15">
        <f t="shared" si="54"/>
        <v>1.0740683708038379E-2</v>
      </c>
      <c r="AN39" s="15">
        <f t="shared" si="54"/>
        <v>0.17722338602171006</v>
      </c>
      <c r="AO39" s="15">
        <f t="shared" si="54"/>
        <v>0.10563608127345692</v>
      </c>
      <c r="AP39" s="15">
        <f t="shared" si="54"/>
        <v>-0.16878822462177745</v>
      </c>
      <c r="AQ39" s="51">
        <f t="shared" si="54"/>
        <v>-0.14842457313853208</v>
      </c>
    </row>
    <row r="40" spans="2:133 16383:16383" x14ac:dyDescent="0.25">
      <c r="B40" t="s">
        <v>112</v>
      </c>
      <c r="Y40" s="16">
        <v>-4.5999999999999999E-3</v>
      </c>
      <c r="Z40" s="16">
        <v>4.3E-3</v>
      </c>
      <c r="AA40" s="17">
        <v>-6.0000000000000001E-3</v>
      </c>
      <c r="AB40" s="17">
        <v>-2.3099999999999999E-2</v>
      </c>
      <c r="AC40" s="17">
        <v>-3.4299999999999997E-2</v>
      </c>
      <c r="AD40" s="17">
        <v>5.8900000000000001E-2</v>
      </c>
      <c r="AE40" s="17">
        <v>-1.21E-2</v>
      </c>
      <c r="AF40" s="17">
        <v>-6.1999999999999998E-3</v>
      </c>
      <c r="AG40" s="17">
        <v>1E-3</v>
      </c>
      <c r="AH40" s="17">
        <v>2.7000000000000001E-3</v>
      </c>
      <c r="AI40" s="17">
        <v>0</v>
      </c>
      <c r="AJ40" s="17">
        <v>-2.8E-3</v>
      </c>
      <c r="AK40" s="17">
        <v>6.1000000000000004E-3</v>
      </c>
      <c r="AL40" s="17">
        <v>-1.1999999999999999E-3</v>
      </c>
      <c r="AM40" s="17">
        <v>-6.8999999999999999E-3</v>
      </c>
      <c r="AN40" s="17">
        <v>-5.6500000000000002E-2</v>
      </c>
      <c r="AO40" s="17">
        <v>9.2899999999999996E-2</v>
      </c>
      <c r="AP40" s="17">
        <v>-3.1399999999999997E-2</v>
      </c>
    </row>
    <row r="41" spans="2:133 16383:16383" x14ac:dyDescent="0.25">
      <c r="B41" t="s">
        <v>70</v>
      </c>
      <c r="C41" s="11">
        <f>+C26/C24</f>
        <v>0.60601170062537824</v>
      </c>
      <c r="D41" s="11">
        <f t="shared" ref="D41:V41" si="55">+D26/D24</f>
        <v>0.53259326845093269</v>
      </c>
      <c r="E41" s="11">
        <f t="shared" si="55"/>
        <v>0.53133693339878907</v>
      </c>
      <c r="F41" s="11">
        <f t="shared" si="55"/>
        <v>0.568024827310041</v>
      </c>
      <c r="G41" s="11">
        <f t="shared" si="55"/>
        <v>0.55172063233873836</v>
      </c>
      <c r="H41" s="11">
        <f t="shared" si="55"/>
        <v>0.57083184758799854</v>
      </c>
      <c r="I41" s="11">
        <f t="shared" si="55"/>
        <v>0.55992080033347225</v>
      </c>
      <c r="J41" s="11">
        <f t="shared" si="55"/>
        <v>0.53629189399844113</v>
      </c>
      <c r="K41" s="11">
        <f t="shared" si="55"/>
        <v>0.50367787282733067</v>
      </c>
      <c r="L41" s="11">
        <f t="shared" si="55"/>
        <v>0.36466288101298872</v>
      </c>
      <c r="M41" s="11">
        <f t="shared" si="55"/>
        <v>0.42606597991915501</v>
      </c>
      <c r="N41" s="11">
        <f t="shared" si="55"/>
        <v>0.39168209656744052</v>
      </c>
      <c r="O41" s="11">
        <f t="shared" si="55"/>
        <v>0.34212548015364919</v>
      </c>
      <c r="P41" s="11">
        <f t="shared" si="55"/>
        <v>0.35817437639972199</v>
      </c>
      <c r="Q41" s="11">
        <f t="shared" si="55"/>
        <v>0.42506003672835146</v>
      </c>
      <c r="R41" s="11">
        <f t="shared" si="55"/>
        <v>0.45741918732961184</v>
      </c>
      <c r="S41" s="11">
        <f t="shared" si="55"/>
        <v>0.41001257466205598</v>
      </c>
      <c r="T41" s="23">
        <f t="shared" si="55"/>
        <v>0.35432089145172602</v>
      </c>
      <c r="U41" s="23">
        <f t="shared" si="55"/>
        <v>0.4</v>
      </c>
      <c r="V41" s="23">
        <f t="shared" si="55"/>
        <v>0.4</v>
      </c>
      <c r="Y41" s="11">
        <f>+Y26/Y24</f>
        <v>0.59364858599907278</v>
      </c>
      <c r="Z41" s="11">
        <f t="shared" ref="Z41:BC41" si="56">+Z26/Z24</f>
        <v>0.51489457916454695</v>
      </c>
      <c r="AA41" s="11">
        <f t="shared" si="56"/>
        <v>0.51922575259560699</v>
      </c>
      <c r="AB41" s="11">
        <f t="shared" si="56"/>
        <v>0.55456819028361626</v>
      </c>
      <c r="AC41" s="11">
        <f t="shared" si="56"/>
        <v>0.55686508953226865</v>
      </c>
      <c r="AD41" s="11">
        <f t="shared" si="56"/>
        <v>0.65311876762258436</v>
      </c>
      <c r="AE41" s="11">
        <f t="shared" si="56"/>
        <v>0.62514120631863557</v>
      </c>
      <c r="AF41" s="11">
        <f t="shared" si="56"/>
        <v>0.62149191053786024</v>
      </c>
      <c r="AG41" s="11">
        <f t="shared" si="56"/>
        <v>0.5980306594824315</v>
      </c>
      <c r="AH41" s="11">
        <f t="shared" si="56"/>
        <v>0.6373545731161625</v>
      </c>
      <c r="AI41" s="11">
        <f t="shared" si="56"/>
        <v>0.62648360581699936</v>
      </c>
      <c r="AJ41" s="11">
        <f t="shared" si="56"/>
        <v>0.60940946671830531</v>
      </c>
      <c r="AK41" s="11">
        <f t="shared" si="56"/>
        <v>0.6225044215356671</v>
      </c>
      <c r="AL41" s="11">
        <f t="shared" si="56"/>
        <v>0.61733570460704612</v>
      </c>
      <c r="AM41" s="11">
        <f t="shared" si="56"/>
        <v>0.5855624261793928</v>
      </c>
      <c r="AN41" s="11">
        <f t="shared" si="56"/>
        <v>0.5600832188218372</v>
      </c>
      <c r="AO41" s="11">
        <f t="shared" si="56"/>
        <v>0.5544518121077141</v>
      </c>
      <c r="AP41" s="11">
        <f t="shared" si="56"/>
        <v>0.42607923367272499</v>
      </c>
      <c r="AQ41" s="23">
        <f t="shared" si="56"/>
        <v>0.40036512502766097</v>
      </c>
      <c r="AR41" s="11">
        <f t="shared" si="56"/>
        <v>0.39124801611524845</v>
      </c>
      <c r="AS41" s="11">
        <f t="shared" si="56"/>
        <v>0.47999999999999993</v>
      </c>
      <c r="AT41" s="11">
        <f t="shared" si="56"/>
        <v>0.48</v>
      </c>
      <c r="AU41" s="11">
        <f t="shared" si="56"/>
        <v>0.49</v>
      </c>
      <c r="AV41" s="11">
        <f t="shared" si="56"/>
        <v>0.48999999999999994</v>
      </c>
      <c r="AW41" s="11">
        <f t="shared" si="56"/>
        <v>0.5</v>
      </c>
      <c r="AX41" s="11">
        <f t="shared" si="56"/>
        <v>0.5</v>
      </c>
      <c r="AY41" s="11">
        <f t="shared" si="56"/>
        <v>0.51</v>
      </c>
      <c r="AZ41" s="11">
        <f t="shared" si="56"/>
        <v>0.51</v>
      </c>
      <c r="BA41" s="11">
        <f t="shared" si="56"/>
        <v>0.52</v>
      </c>
      <c r="BB41" s="11">
        <f t="shared" si="56"/>
        <v>0.52</v>
      </c>
      <c r="BC41" s="11">
        <f t="shared" si="56"/>
        <v>0.53</v>
      </c>
    </row>
    <row r="42" spans="2:133 16383:16383" x14ac:dyDescent="0.25">
      <c r="B42" t="s">
        <v>81</v>
      </c>
      <c r="BE42" t="s">
        <v>116</v>
      </c>
      <c r="BF42" s="27">
        <v>0.08</v>
      </c>
    </row>
    <row r="43" spans="2:133 16383:16383" x14ac:dyDescent="0.25">
      <c r="B43" t="s">
        <v>124</v>
      </c>
      <c r="Y43" s="17">
        <f>Y33/Y32</f>
        <v>0.33868337481761224</v>
      </c>
      <c r="Z43" s="17">
        <f t="shared" ref="Z43:AQ43" si="57">Z33/Z32</f>
        <v>0.40103031503863679</v>
      </c>
      <c r="AA43" s="17">
        <f t="shared" si="57"/>
        <v>0.27529855436832179</v>
      </c>
      <c r="AB43" s="17">
        <f t="shared" si="57"/>
        <v>0.26089799476896253</v>
      </c>
      <c r="AC43" s="17">
        <f t="shared" si="57"/>
        <v>0.22961816305469557</v>
      </c>
      <c r="AD43" s="17">
        <f t="shared" si="57"/>
        <v>0.29560560108408079</v>
      </c>
      <c r="AE43" s="17">
        <f t="shared" si="57"/>
        <v>0.27580507267027643</v>
      </c>
      <c r="AF43" s="17">
        <f t="shared" si="57"/>
        <v>0.26043630487476432</v>
      </c>
      <c r="AG43" s="17">
        <f t="shared" si="57"/>
        <v>0.23605082471785968</v>
      </c>
      <c r="AH43" s="17">
        <f t="shared" si="57"/>
        <v>0.25639902371863071</v>
      </c>
      <c r="AI43" s="17">
        <f t="shared" si="57"/>
        <v>0.19233948746211077</v>
      </c>
      <c r="AJ43" s="17">
        <f t="shared" si="57"/>
        <v>0.17932922655715264</v>
      </c>
      <c r="AK43" s="17">
        <f t="shared" si="57"/>
        <v>0</v>
      </c>
      <c r="AL43" s="17">
        <f t="shared" si="57"/>
        <v>9.6876337184424482E-2</v>
      </c>
      <c r="AM43" s="17">
        <f t="shared" si="57"/>
        <v>0.13137220670391062</v>
      </c>
      <c r="AN43" s="17">
        <f t="shared" si="57"/>
        <v>0.17880369673113128</v>
      </c>
      <c r="AO43" s="17">
        <f t="shared" si="57"/>
        <v>8.4953703703703698E-2</v>
      </c>
      <c r="AP43" s="17">
        <f t="shared" si="57"/>
        <v>-7.1102227298686468E-2</v>
      </c>
      <c r="AQ43" s="31">
        <f t="shared" si="57"/>
        <v>0.19393939393939394</v>
      </c>
      <c r="BE43" t="s">
        <v>117</v>
      </c>
      <c r="BF43" s="27">
        <v>0.01</v>
      </c>
    </row>
    <row r="45" spans="2:133 16383:16383" x14ac:dyDescent="0.25">
      <c r="B45" t="s">
        <v>82</v>
      </c>
      <c r="C45">
        <f>+C46-C55</f>
        <v>-13646</v>
      </c>
      <c r="D45">
        <f t="shared" ref="D45:R45" si="58">+D46-D55</f>
        <v>-6580</v>
      </c>
      <c r="E45">
        <f t="shared" si="58"/>
        <v>-11911</v>
      </c>
      <c r="F45">
        <f t="shared" si="58"/>
        <v>-8539</v>
      </c>
      <c r="G45">
        <f t="shared" si="58"/>
        <v>-1117</v>
      </c>
      <c r="H45">
        <f t="shared" si="58"/>
        <v>2182</v>
      </c>
      <c r="I45">
        <f t="shared" si="58"/>
        <v>7732</v>
      </c>
      <c r="J45">
        <f t="shared" si="58"/>
        <v>-3390</v>
      </c>
      <c r="K45" s="12">
        <f>+K46-K55</f>
        <v>7721</v>
      </c>
      <c r="L45">
        <f t="shared" si="58"/>
        <v>-2425</v>
      </c>
      <c r="M45">
        <f t="shared" si="58"/>
        <v>-11086</v>
      </c>
      <c r="N45">
        <f t="shared" si="58"/>
        <v>-7801</v>
      </c>
      <c r="O45">
        <f t="shared" si="58"/>
        <v>-16710</v>
      </c>
      <c r="P45">
        <f t="shared" si="58"/>
        <v>-18896</v>
      </c>
      <c r="Q45">
        <f t="shared" si="58"/>
        <v>-18149</v>
      </c>
      <c r="R45">
        <f t="shared" si="58"/>
        <v>-16115</v>
      </c>
      <c r="S45" s="12">
        <f>+S46-S55</f>
        <v>-25000</v>
      </c>
      <c r="T45" s="44">
        <f>+T46-T55</f>
        <v>-17932</v>
      </c>
      <c r="Y45" s="4">
        <f>+Y46-Y55</f>
        <v>10890</v>
      </c>
      <c r="Z45" s="4">
        <f t="shared" ref="Z45:AP45" si="59">+Z46-Z55</f>
        <v>8372</v>
      </c>
      <c r="AA45" s="4">
        <f t="shared" si="59"/>
        <v>14228</v>
      </c>
      <c r="AB45" s="4">
        <f t="shared" si="59"/>
        <v>10207</v>
      </c>
      <c r="AC45" s="4">
        <f t="shared" si="59"/>
        <v>12472</v>
      </c>
      <c r="AD45" s="4">
        <f t="shared" si="59"/>
        <v>20778</v>
      </c>
      <c r="AE45" s="4">
        <f t="shared" si="59"/>
        <v>9737</v>
      </c>
      <c r="AF45" s="4">
        <f t="shared" si="59"/>
        <v>10130</v>
      </c>
      <c r="AG45" s="4">
        <f t="shared" si="59"/>
        <v>13900</v>
      </c>
      <c r="AH45" s="4">
        <f t="shared" si="59"/>
        <v>8886</v>
      </c>
      <c r="AI45" s="4">
        <f t="shared" si="59"/>
        <v>10193</v>
      </c>
      <c r="AJ45" s="4">
        <f t="shared" si="59"/>
        <v>-676</v>
      </c>
      <c r="AK45" s="4">
        <f t="shared" si="59"/>
        <v>-6732</v>
      </c>
      <c r="AL45" s="4">
        <f t="shared" si="59"/>
        <v>-8667</v>
      </c>
      <c r="AM45" s="4">
        <f t="shared" si="59"/>
        <v>-11911</v>
      </c>
      <c r="AN45" s="4">
        <f t="shared" si="59"/>
        <v>-8539</v>
      </c>
      <c r="AO45" s="4">
        <f t="shared" si="59"/>
        <v>-3390</v>
      </c>
      <c r="AP45" s="4">
        <f t="shared" si="59"/>
        <v>-7801</v>
      </c>
      <c r="AQ45" s="21">
        <f>+AQ46-AQ55</f>
        <v>-16115</v>
      </c>
      <c r="AS45" s="12">
        <f>+AR45+AS34</f>
        <v>5016.0856188800008</v>
      </c>
      <c r="AT45" s="12">
        <f t="shared" ref="AT45:BC45" si="60">+AS45+AT34</f>
        <v>11110.918995316002</v>
      </c>
      <c r="AU45" s="12">
        <f t="shared" si="60"/>
        <v>18423.61028285584</v>
      </c>
      <c r="AV45" s="12">
        <f t="shared" si="60"/>
        <v>27161.486824658299</v>
      </c>
      <c r="AW45" s="12">
        <f t="shared" si="60"/>
        <v>37402.818473831663</v>
      </c>
      <c r="AX45" s="12">
        <f t="shared" si="60"/>
        <v>48636.032317074045</v>
      </c>
      <c r="AY45" s="12">
        <f t="shared" si="60"/>
        <v>62228.862091870324</v>
      </c>
      <c r="AZ45" s="12">
        <f t="shared" si="60"/>
        <v>77688.629273592611</v>
      </c>
      <c r="BA45" s="12">
        <f t="shared" si="60"/>
        <v>95232.924969970074</v>
      </c>
      <c r="BB45" s="12">
        <f t="shared" si="60"/>
        <v>114224.49792415254</v>
      </c>
      <c r="BC45" s="12">
        <f t="shared" si="60"/>
        <v>135598.17297516408</v>
      </c>
      <c r="BE45" t="s">
        <v>118</v>
      </c>
      <c r="BF45" s="27">
        <v>0.01</v>
      </c>
    </row>
    <row r="46" spans="2:133 16383:16383" x14ac:dyDescent="0.25">
      <c r="B46" t="s">
        <v>14</v>
      </c>
      <c r="C46" s="12">
        <v>27626</v>
      </c>
      <c r="D46" s="12">
        <v>32600</v>
      </c>
      <c r="E46" s="12">
        <v>24652</v>
      </c>
      <c r="F46" s="12">
        <f>AN46</f>
        <v>27862</v>
      </c>
      <c r="G46" s="12">
        <v>34767</v>
      </c>
      <c r="H46" s="12">
        <v>37591</v>
      </c>
      <c r="I46" s="12">
        <v>48036</v>
      </c>
      <c r="J46" s="12">
        <f>AO46</f>
        <v>34711</v>
      </c>
      <c r="K46" s="12">
        <v>44968</v>
      </c>
      <c r="L46" s="12">
        <v>33005</v>
      </c>
      <c r="M46" s="12">
        <v>28437</v>
      </c>
      <c r="N46" s="12">
        <f>AP46</f>
        <v>34250</v>
      </c>
      <c r="O46" s="12">
        <v>33563</v>
      </c>
      <c r="P46" s="12">
        <v>30150</v>
      </c>
      <c r="Q46" s="12">
        <v>30730</v>
      </c>
      <c r="R46" s="12">
        <f>AQ46</f>
        <v>30863</v>
      </c>
      <c r="S46" s="12">
        <v>27450</v>
      </c>
      <c r="T46" s="54">
        <f>11287+17986+5824</f>
        <v>35097</v>
      </c>
      <c r="Y46" s="4">
        <f>7324+3990+1458+537</f>
        <v>13309</v>
      </c>
      <c r="Z46" s="4">
        <f>6598+2270+1134+398</f>
        <v>10400</v>
      </c>
      <c r="AA46" s="4">
        <f>7307+5490+2566+987</f>
        <v>16350</v>
      </c>
      <c r="AB46" s="4">
        <f>3350+5331+3162+352</f>
        <v>12195</v>
      </c>
      <c r="AC46" s="4">
        <f>3987+5285+4648+773</f>
        <v>14693</v>
      </c>
      <c r="AD46" s="4">
        <f>5498+11294+5093+1008</f>
        <v>22893</v>
      </c>
      <c r="AE46" s="4">
        <f>5065+5181+4591+562+1669</f>
        <v>17068</v>
      </c>
      <c r="AF46" s="4">
        <f>8478+3999+5685+4424+992</f>
        <v>23578</v>
      </c>
      <c r="AG46" s="4">
        <f>5674+5972+8441+6221+1038</f>
        <v>27346</v>
      </c>
      <c r="AH46" s="4">
        <f>2561+2430+9063+7097+1446</f>
        <v>22597</v>
      </c>
      <c r="AI46" s="4">
        <f>15308+2682+7323+5960+1590</f>
        <v>32863</v>
      </c>
      <c r="AJ46" s="4">
        <f>5560+3225+8314+6180+1328</f>
        <v>24607</v>
      </c>
      <c r="AK46" s="4">
        <f>3433+1814+8755+4192+1887</f>
        <v>20081</v>
      </c>
      <c r="AL46" s="4">
        <f>3019+2788+5843+6042</f>
        <v>17692</v>
      </c>
      <c r="AM46" s="4">
        <f>4194+1082+7847+3967</f>
        <v>17090</v>
      </c>
      <c r="AN46" s="4">
        <f>5865+2292+15738+3967</f>
        <v>27862</v>
      </c>
      <c r="AO46" s="4">
        <f>4827+2103+6298+21483</f>
        <v>34711</v>
      </c>
      <c r="AP46" s="4">
        <f>11144+17194+5912</f>
        <v>34250</v>
      </c>
      <c r="AQ46" s="21">
        <f>7079+17955+5829</f>
        <v>30863</v>
      </c>
      <c r="BE46" t="s">
        <v>119</v>
      </c>
      <c r="BF46" s="12">
        <f>NPV(BF42,AQ34:EC34)+Overview!J6-Overview!J7</f>
        <v>162647.12866344571</v>
      </c>
    </row>
    <row r="47" spans="2:133 16383:16383" x14ac:dyDescent="0.25">
      <c r="B47" t="s">
        <v>83</v>
      </c>
      <c r="C47" s="12">
        <v>8455</v>
      </c>
      <c r="D47" s="12">
        <v>7441</v>
      </c>
      <c r="E47" s="12">
        <v>7140</v>
      </c>
      <c r="F47" s="12">
        <f t="shared" ref="F47:F52" si="61">AN47</f>
        <v>6782</v>
      </c>
      <c r="G47" s="12">
        <v>7208</v>
      </c>
      <c r="H47" s="12">
        <v>7460</v>
      </c>
      <c r="I47" s="12">
        <v>8400</v>
      </c>
      <c r="J47" s="12">
        <f t="shared" ref="J47:J52" si="62">AO47</f>
        <v>9457</v>
      </c>
      <c r="K47" s="12">
        <v>7074</v>
      </c>
      <c r="L47" s="12">
        <v>6063</v>
      </c>
      <c r="M47" s="12">
        <v>7469</v>
      </c>
      <c r="N47" s="12">
        <f t="shared" ref="N47:N52" si="63">AP47</f>
        <v>4133</v>
      </c>
      <c r="O47" s="12">
        <v>3847</v>
      </c>
      <c r="P47" s="12">
        <v>2996</v>
      </c>
      <c r="Q47" s="12">
        <v>2843</v>
      </c>
      <c r="R47" s="12">
        <f t="shared" ref="R47:R52" si="64">AQ47</f>
        <v>3402</v>
      </c>
      <c r="S47" s="12">
        <v>3323</v>
      </c>
      <c r="T47" s="44">
        <v>3131</v>
      </c>
      <c r="Y47" s="4">
        <v>3914</v>
      </c>
      <c r="Z47" s="4">
        <v>2709</v>
      </c>
      <c r="AA47" s="4">
        <v>2576</v>
      </c>
      <c r="AB47" s="4">
        <v>1712</v>
      </c>
      <c r="AC47" s="4">
        <v>2273</v>
      </c>
      <c r="AD47" s="4">
        <v>2867</v>
      </c>
      <c r="AE47" s="4">
        <v>3650</v>
      </c>
      <c r="AF47" s="4">
        <v>3833</v>
      </c>
      <c r="AG47" s="4">
        <v>3582</v>
      </c>
      <c r="AH47" s="4">
        <v>4427</v>
      </c>
      <c r="AI47" s="4">
        <v>4787</v>
      </c>
      <c r="AJ47" s="4">
        <v>4690</v>
      </c>
      <c r="AK47" s="4">
        <v>5607</v>
      </c>
      <c r="AL47" s="4">
        <v>6722</v>
      </c>
      <c r="AM47" s="4">
        <v>7659</v>
      </c>
      <c r="AN47" s="4">
        <v>6782</v>
      </c>
      <c r="AO47" s="4">
        <v>9457</v>
      </c>
      <c r="AP47" s="4">
        <v>4133</v>
      </c>
      <c r="AQ47" s="21">
        <v>3402</v>
      </c>
    </row>
    <row r="48" spans="2:133 16383:16383" x14ac:dyDescent="0.25">
      <c r="B48" t="s">
        <v>84</v>
      </c>
      <c r="C48" s="12">
        <v>9246</v>
      </c>
      <c r="D48" s="12">
        <v>8969</v>
      </c>
      <c r="E48" s="12">
        <v>9273</v>
      </c>
      <c r="F48" s="12">
        <f t="shared" si="61"/>
        <v>8427</v>
      </c>
      <c r="G48" s="12">
        <v>8487</v>
      </c>
      <c r="H48" s="12">
        <v>8817</v>
      </c>
      <c r="I48" s="12">
        <v>9798</v>
      </c>
      <c r="J48" s="12">
        <f t="shared" si="62"/>
        <v>10776</v>
      </c>
      <c r="K48" s="12">
        <v>11935</v>
      </c>
      <c r="L48" s="12">
        <v>12174</v>
      </c>
      <c r="M48" s="12">
        <v>12831</v>
      </c>
      <c r="N48" s="12">
        <f t="shared" si="63"/>
        <v>13224</v>
      </c>
      <c r="O48" s="12">
        <v>12993</v>
      </c>
      <c r="P48" s="12">
        <v>11984</v>
      </c>
      <c r="Q48" s="12">
        <v>11466</v>
      </c>
      <c r="R48" s="12">
        <f t="shared" si="64"/>
        <v>11127</v>
      </c>
      <c r="S48" s="12">
        <v>11494</v>
      </c>
      <c r="T48" s="44">
        <v>11244</v>
      </c>
      <c r="Y48" s="4">
        <v>3126</v>
      </c>
      <c r="Z48" s="4">
        <v>4314</v>
      </c>
      <c r="AA48" s="4">
        <v>3370</v>
      </c>
      <c r="AB48" s="4">
        <v>3744</v>
      </c>
      <c r="AC48" s="4">
        <v>2935</v>
      </c>
      <c r="AD48" s="4">
        <v>3757</v>
      </c>
      <c r="AE48" s="4">
        <v>4096</v>
      </c>
      <c r="AF48" s="4">
        <v>4734</v>
      </c>
      <c r="AG48" s="4">
        <v>4172</v>
      </c>
      <c r="AH48" s="4">
        <v>4273</v>
      </c>
      <c r="AI48" s="4">
        <v>5167</v>
      </c>
      <c r="AJ48" s="4">
        <v>5553</v>
      </c>
      <c r="AK48" s="4">
        <v>6983</v>
      </c>
      <c r="AL48" s="4">
        <v>7253</v>
      </c>
      <c r="AM48" s="4">
        <v>8744</v>
      </c>
      <c r="AN48" s="4">
        <v>8427</v>
      </c>
      <c r="AO48" s="4">
        <v>10776</v>
      </c>
      <c r="AP48" s="4">
        <v>13224</v>
      </c>
      <c r="AQ48" s="21">
        <v>11127</v>
      </c>
      <c r="BE48" t="s">
        <v>120</v>
      </c>
      <c r="BF48" s="28">
        <f>BF46/Overview!J4</f>
        <v>38.117442855272017</v>
      </c>
    </row>
    <row r="49" spans="2:58" x14ac:dyDescent="0.25">
      <c r="B49" t="s">
        <v>85</v>
      </c>
      <c r="C49" s="12">
        <v>2997</v>
      </c>
      <c r="D49" s="12">
        <v>2165</v>
      </c>
      <c r="E49" s="12">
        <v>2119</v>
      </c>
      <c r="F49" s="12">
        <f t="shared" si="61"/>
        <v>2745</v>
      </c>
      <c r="G49" s="12">
        <v>2124</v>
      </c>
      <c r="H49" s="12">
        <v>2421</v>
      </c>
      <c r="I49" s="12">
        <v>2073</v>
      </c>
      <c r="J49" s="12">
        <f t="shared" si="62"/>
        <v>2130</v>
      </c>
      <c r="K49" s="12">
        <v>4627</v>
      </c>
      <c r="L49" s="12">
        <v>5275</v>
      </c>
      <c r="M49" s="12">
        <v>6348</v>
      </c>
      <c r="N49" s="12">
        <f t="shared" si="63"/>
        <v>10730</v>
      </c>
      <c r="O49" s="12">
        <v>3940</v>
      </c>
      <c r="P49" s="12">
        <v>4119</v>
      </c>
      <c r="Q49" s="12">
        <v>4472</v>
      </c>
      <c r="R49" s="12">
        <f t="shared" si="64"/>
        <v>8295</v>
      </c>
      <c r="S49" s="12">
        <v>6480</v>
      </c>
      <c r="T49" s="44">
        <v>7181</v>
      </c>
      <c r="Y49" s="4">
        <v>233</v>
      </c>
      <c r="Z49" s="4">
        <v>258</v>
      </c>
      <c r="AA49" s="4">
        <v>1390</v>
      </c>
      <c r="AB49" s="4">
        <v>1182</v>
      </c>
      <c r="AC49" s="4">
        <v>813</v>
      </c>
      <c r="AD49" s="4">
        <v>1614</v>
      </c>
      <c r="AE49" s="4">
        <v>1589</v>
      </c>
      <c r="AF49" s="4">
        <v>2512</v>
      </c>
      <c r="AG49" s="4">
        <v>1649</v>
      </c>
      <c r="AH49" s="4">
        <v>3018</v>
      </c>
      <c r="AI49" s="4">
        <v>3053</v>
      </c>
      <c r="AJ49" s="4">
        <v>2956</v>
      </c>
      <c r="AK49" s="4">
        <v>2908</v>
      </c>
      <c r="AL49" s="4">
        <v>3162</v>
      </c>
      <c r="AM49" s="4">
        <v>1713</v>
      </c>
      <c r="AN49" s="4">
        <v>2745</v>
      </c>
      <c r="AO49" s="4">
        <f>2130</f>
        <v>2130</v>
      </c>
      <c r="AP49" s="4">
        <f>4667+6063</f>
        <v>10730</v>
      </c>
      <c r="AQ49" s="21">
        <f>3706+4589</f>
        <v>8295</v>
      </c>
      <c r="BF49" s="11">
        <f>+BF48/Overview!J3-1</f>
        <v>0.76633192100426406</v>
      </c>
    </row>
    <row r="50" spans="2:58" x14ac:dyDescent="0.25">
      <c r="B50" t="s">
        <v>86</v>
      </c>
      <c r="C50" s="12">
        <v>56770</v>
      </c>
      <c r="D50" s="12">
        <v>58036</v>
      </c>
      <c r="E50" s="12">
        <v>59205</v>
      </c>
      <c r="F50" s="12">
        <f t="shared" si="61"/>
        <v>56584</v>
      </c>
      <c r="G50" s="12">
        <v>57330</v>
      </c>
      <c r="H50" s="12">
        <v>58166</v>
      </c>
      <c r="I50" s="12">
        <v>59733</v>
      </c>
      <c r="J50" s="12">
        <f t="shared" si="62"/>
        <v>63245</v>
      </c>
      <c r="K50" s="12">
        <v>66718</v>
      </c>
      <c r="L50" s="12">
        <v>71660</v>
      </c>
      <c r="M50" s="12">
        <v>75763</v>
      </c>
      <c r="N50" s="12">
        <f t="shared" si="63"/>
        <v>80860</v>
      </c>
      <c r="O50" s="12">
        <v>85734</v>
      </c>
      <c r="P50" s="12">
        <v>90945</v>
      </c>
      <c r="Q50" s="12">
        <v>93352</v>
      </c>
      <c r="R50" s="12">
        <f t="shared" si="64"/>
        <v>96647</v>
      </c>
      <c r="S50" s="12">
        <v>99924</v>
      </c>
      <c r="T50" s="44">
        <v>103398</v>
      </c>
      <c r="Y50" s="4">
        <v>17111</v>
      </c>
      <c r="Z50" s="4">
        <v>17602</v>
      </c>
      <c r="AA50" s="4">
        <v>16918</v>
      </c>
      <c r="AB50" s="4">
        <v>17544</v>
      </c>
      <c r="AC50" s="4">
        <v>17225</v>
      </c>
      <c r="AD50" s="4">
        <v>17899</v>
      </c>
      <c r="AE50" s="4">
        <v>23627</v>
      </c>
      <c r="AF50" s="4">
        <v>27983</v>
      </c>
      <c r="AG50" s="4">
        <v>31428</v>
      </c>
      <c r="AH50" s="4">
        <v>33238</v>
      </c>
      <c r="AI50" s="4">
        <v>31858</v>
      </c>
      <c r="AJ50" s="4">
        <v>36171</v>
      </c>
      <c r="AK50" s="4">
        <v>41109</v>
      </c>
      <c r="AL50" s="4">
        <v>48976</v>
      </c>
      <c r="AM50" s="4">
        <v>55386</v>
      </c>
      <c r="AN50" s="4">
        <v>56584</v>
      </c>
      <c r="AO50" s="4">
        <v>63245</v>
      </c>
      <c r="AP50" s="4">
        <v>80860</v>
      </c>
      <c r="AQ50" s="21">
        <v>96647</v>
      </c>
    </row>
    <row r="51" spans="2:58" x14ac:dyDescent="0.25">
      <c r="B51" t="s">
        <v>87</v>
      </c>
      <c r="C51" s="12">
        <v>36705</v>
      </c>
      <c r="D51" s="12">
        <v>37246</v>
      </c>
      <c r="E51" s="12">
        <v>36836</v>
      </c>
      <c r="F51" s="12">
        <f t="shared" si="61"/>
        <v>26971</v>
      </c>
      <c r="G51" s="12">
        <v>35379</v>
      </c>
      <c r="H51" s="12">
        <v>34786</v>
      </c>
      <c r="I51" s="12">
        <v>34470</v>
      </c>
      <c r="J51" s="12">
        <f t="shared" si="62"/>
        <v>26963</v>
      </c>
      <c r="K51" s="12">
        <v>33824</v>
      </c>
      <c r="L51" s="12">
        <v>34014</v>
      </c>
      <c r="M51" s="12">
        <v>33859</v>
      </c>
      <c r="N51" s="12">
        <f t="shared" si="63"/>
        <v>27591</v>
      </c>
      <c r="O51" s="12">
        <v>33158</v>
      </c>
      <c r="P51" s="12">
        <v>32764</v>
      </c>
      <c r="Q51" s="12">
        <v>32561</v>
      </c>
      <c r="R51" s="12">
        <f t="shared" si="64"/>
        <v>27591</v>
      </c>
      <c r="S51" s="12">
        <v>32115</v>
      </c>
      <c r="T51" s="44">
        <v>31825</v>
      </c>
      <c r="Y51" s="4">
        <v>3873</v>
      </c>
      <c r="Z51" s="4">
        <v>3861</v>
      </c>
      <c r="AA51" s="4">
        <v>3916</v>
      </c>
      <c r="AB51" s="4">
        <v>3932</v>
      </c>
      <c r="AC51" s="4">
        <v>4421</v>
      </c>
      <c r="AD51" s="4">
        <v>4531</v>
      </c>
      <c r="AE51" s="4">
        <v>9254</v>
      </c>
      <c r="AF51" s="4">
        <v>9710</v>
      </c>
      <c r="AG51" s="4">
        <v>10513</v>
      </c>
      <c r="AH51" s="4">
        <v>10861</v>
      </c>
      <c r="AI51" s="4">
        <v>11332</v>
      </c>
      <c r="AJ51" s="4">
        <v>14099</v>
      </c>
      <c r="AK51" s="4">
        <v>24389</v>
      </c>
      <c r="AL51" s="4">
        <v>24513</v>
      </c>
      <c r="AM51" s="4">
        <v>26276</v>
      </c>
      <c r="AN51" s="4">
        <v>26971</v>
      </c>
      <c r="AO51" s="4">
        <v>26963</v>
      </c>
      <c r="AP51" s="4">
        <v>27591</v>
      </c>
      <c r="AQ51" s="21">
        <v>27591</v>
      </c>
    </row>
    <row r="52" spans="2:58" x14ac:dyDescent="0.25">
      <c r="B52" t="s">
        <v>88</v>
      </c>
      <c r="C52" s="12">
        <v>5911</v>
      </c>
      <c r="D52" s="12">
        <v>6082</v>
      </c>
      <c r="E52" s="12">
        <v>6036</v>
      </c>
      <c r="F52" s="12">
        <f t="shared" si="61"/>
        <v>23720</v>
      </c>
      <c r="G52" s="12">
        <v>5327</v>
      </c>
      <c r="H52" s="12">
        <v>5356</v>
      </c>
      <c r="I52" s="12">
        <v>5452</v>
      </c>
      <c r="J52" s="12">
        <f t="shared" si="62"/>
        <v>21124</v>
      </c>
      <c r="K52" s="12">
        <v>7210</v>
      </c>
      <c r="L52" s="12">
        <v>8227</v>
      </c>
      <c r="M52" s="12">
        <v>10134</v>
      </c>
      <c r="N52" s="12">
        <f t="shared" si="63"/>
        <v>11315</v>
      </c>
      <c r="O52" s="12">
        <v>12068</v>
      </c>
      <c r="P52" s="12">
        <v>12671</v>
      </c>
      <c r="Q52" s="12">
        <v>13413</v>
      </c>
      <c r="R52" s="12">
        <f t="shared" si="64"/>
        <v>13647</v>
      </c>
      <c r="S52" s="12">
        <v>11947</v>
      </c>
      <c r="T52" s="44">
        <v>14329</v>
      </c>
      <c r="Y52" s="4">
        <f>1464+5284</f>
        <v>6748</v>
      </c>
      <c r="Z52" s="4">
        <f>4204+5020</f>
        <v>9224</v>
      </c>
      <c r="AA52" s="4">
        <f>5547+5584</f>
        <v>11131</v>
      </c>
      <c r="AB52" s="4">
        <f>6092+4314</f>
        <v>10406</v>
      </c>
      <c r="AC52" s="4">
        <f>5340+5395</f>
        <v>10735</v>
      </c>
      <c r="AD52" s="4">
        <f>5111+4514</f>
        <v>9625</v>
      </c>
      <c r="AE52" s="4">
        <f>800+4648+6387</f>
        <v>11835</v>
      </c>
      <c r="AF52" s="4">
        <f>952+4148+6901</f>
        <v>12001</v>
      </c>
      <c r="AG52" s="4">
        <f>1795+5489+6384</f>
        <v>13668</v>
      </c>
      <c r="AH52" s="4">
        <f>1672+6561+5309</f>
        <v>13542</v>
      </c>
      <c r="AI52" s="4">
        <f>679+7735+5591</f>
        <v>14005</v>
      </c>
      <c r="AJ52" s="4">
        <f>930+7159+17162</f>
        <v>25251</v>
      </c>
      <c r="AK52" s="4">
        <f>668+7602+13902</f>
        <v>22172</v>
      </c>
      <c r="AL52" s="4">
        <f>1313+4421+13911</f>
        <v>19645</v>
      </c>
      <c r="AM52" s="4">
        <f>2149+5553+11954</f>
        <v>19656</v>
      </c>
      <c r="AN52" s="4">
        <f>1633+5917+16170</f>
        <v>23720</v>
      </c>
      <c r="AO52" s="4">
        <f>6072+15052</f>
        <v>21124</v>
      </c>
      <c r="AP52" s="4">
        <v>11315</v>
      </c>
      <c r="AQ52" s="21">
        <v>13647</v>
      </c>
    </row>
    <row r="53" spans="2:58" x14ac:dyDescent="0.25">
      <c r="B53" t="s">
        <v>89</v>
      </c>
      <c r="C53" s="12">
        <f t="shared" ref="C53:T53" si="65">SUM(C46:C52)</f>
        <v>147710</v>
      </c>
      <c r="D53" s="12">
        <f t="shared" si="65"/>
        <v>152539</v>
      </c>
      <c r="E53" s="12">
        <f t="shared" si="65"/>
        <v>145261</v>
      </c>
      <c r="F53" s="12">
        <f t="shared" si="65"/>
        <v>153091</v>
      </c>
      <c r="G53" s="12">
        <f t="shared" si="65"/>
        <v>150622</v>
      </c>
      <c r="H53" s="12">
        <f t="shared" si="65"/>
        <v>154597</v>
      </c>
      <c r="I53" s="12">
        <f t="shared" si="65"/>
        <v>167962</v>
      </c>
      <c r="J53" s="12">
        <f t="shared" si="65"/>
        <v>168406</v>
      </c>
      <c r="K53" s="12">
        <f t="shared" si="65"/>
        <v>176356</v>
      </c>
      <c r="L53" s="12">
        <f t="shared" si="65"/>
        <v>170418</v>
      </c>
      <c r="M53" s="12">
        <f t="shared" si="65"/>
        <v>174841</v>
      </c>
      <c r="N53" s="12">
        <f t="shared" si="65"/>
        <v>182103</v>
      </c>
      <c r="O53" s="12">
        <f t="shared" si="65"/>
        <v>185303</v>
      </c>
      <c r="P53" s="12">
        <f t="shared" si="65"/>
        <v>185629</v>
      </c>
      <c r="Q53" s="12">
        <f t="shared" si="65"/>
        <v>188837</v>
      </c>
      <c r="R53" s="12">
        <f t="shared" si="65"/>
        <v>191572</v>
      </c>
      <c r="S53" s="12">
        <f t="shared" si="65"/>
        <v>192733</v>
      </c>
      <c r="T53" s="44">
        <f t="shared" si="65"/>
        <v>206205</v>
      </c>
      <c r="Y53" s="4">
        <f>SUM(Y46:Y52)</f>
        <v>48314</v>
      </c>
      <c r="Z53" s="4">
        <f t="shared" ref="Z53:AQ53" si="66">SUM(Z46:Z52)</f>
        <v>48368</v>
      </c>
      <c r="AA53" s="4">
        <f t="shared" si="66"/>
        <v>55651</v>
      </c>
      <c r="AB53" s="4">
        <f t="shared" si="66"/>
        <v>50715</v>
      </c>
      <c r="AC53" s="4">
        <f t="shared" si="66"/>
        <v>53095</v>
      </c>
      <c r="AD53" s="4">
        <f t="shared" si="66"/>
        <v>63186</v>
      </c>
      <c r="AE53" s="4">
        <f t="shared" si="66"/>
        <v>71119</v>
      </c>
      <c r="AF53" s="4">
        <f t="shared" si="66"/>
        <v>84351</v>
      </c>
      <c r="AG53" s="4">
        <f t="shared" si="66"/>
        <v>92358</v>
      </c>
      <c r="AH53" s="4">
        <f t="shared" si="66"/>
        <v>91956</v>
      </c>
      <c r="AI53" s="4">
        <f t="shared" si="66"/>
        <v>103065</v>
      </c>
      <c r="AJ53" s="4">
        <f t="shared" si="66"/>
        <v>113327</v>
      </c>
      <c r="AK53" s="4">
        <f t="shared" si="66"/>
        <v>123249</v>
      </c>
      <c r="AL53" s="4">
        <f t="shared" si="66"/>
        <v>127963</v>
      </c>
      <c r="AM53" s="4">
        <f t="shared" si="66"/>
        <v>136524</v>
      </c>
      <c r="AN53" s="4">
        <f t="shared" si="66"/>
        <v>153091</v>
      </c>
      <c r="AO53" s="4">
        <f t="shared" si="66"/>
        <v>168406</v>
      </c>
      <c r="AP53" s="4">
        <f t="shared" si="66"/>
        <v>182103</v>
      </c>
      <c r="AQ53" s="21">
        <f t="shared" si="66"/>
        <v>191572</v>
      </c>
    </row>
    <row r="54" spans="2:58" x14ac:dyDescent="0.25">
      <c r="C54" s="12"/>
      <c r="D54" s="12"/>
      <c r="E54" s="12"/>
      <c r="G54" s="12"/>
      <c r="H54" s="12"/>
      <c r="I54" s="12"/>
      <c r="K54" s="12"/>
      <c r="L54" s="12"/>
      <c r="M54" s="12"/>
      <c r="O54" s="12"/>
      <c r="P54" s="12"/>
      <c r="Q54" s="12"/>
      <c r="S54" s="12"/>
      <c r="T54" s="4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21"/>
    </row>
    <row r="55" spans="2:58" x14ac:dyDescent="0.25">
      <c r="B55" t="s">
        <v>15</v>
      </c>
      <c r="C55" s="12">
        <f>3464+36455+1353</f>
        <v>41272</v>
      </c>
      <c r="D55" s="12">
        <v>39180</v>
      </c>
      <c r="E55" s="12">
        <f>36059+504</f>
        <v>36563</v>
      </c>
      <c r="F55" s="10">
        <f t="shared" ref="F55:F61" si="67">AN55</f>
        <v>36401</v>
      </c>
      <c r="G55">
        <f>33237+2647</f>
        <v>35884</v>
      </c>
      <c r="H55">
        <f>3695+31714</f>
        <v>35409</v>
      </c>
      <c r="I55">
        <f>4694+35610</f>
        <v>40304</v>
      </c>
      <c r="J55" s="10">
        <f t="shared" ref="J55:J61" si="68">AO55</f>
        <v>38101</v>
      </c>
      <c r="K55">
        <f>4459+32788</f>
        <v>37247</v>
      </c>
      <c r="L55">
        <f>2882+32548</f>
        <v>35430</v>
      </c>
      <c r="M55">
        <f>2283+37240</f>
        <v>39523</v>
      </c>
      <c r="N55" s="10">
        <f t="shared" ref="N55:N61" si="69">AP55</f>
        <v>42051</v>
      </c>
      <c r="O55">
        <f>48836+1437</f>
        <v>50273</v>
      </c>
      <c r="P55" s="4">
        <f>46335+2711</f>
        <v>49046</v>
      </c>
      <c r="Q55" s="12">
        <f>46591+2288</f>
        <v>48879</v>
      </c>
      <c r="R55" s="10">
        <f t="shared" ref="R55:R61" si="70">AQ55</f>
        <v>46978</v>
      </c>
      <c r="S55" s="12">
        <v>52450</v>
      </c>
      <c r="T55" s="44">
        <v>53029</v>
      </c>
      <c r="Y55" s="4">
        <f>313+2106</f>
        <v>2419</v>
      </c>
      <c r="Z55" s="4">
        <f>180+1848</f>
        <v>2028</v>
      </c>
      <c r="AA55" s="4">
        <f>142+1980</f>
        <v>2122</v>
      </c>
      <c r="AB55" s="4">
        <f>102+1886</f>
        <v>1988</v>
      </c>
      <c r="AC55" s="4">
        <f>172+2049</f>
        <v>2221</v>
      </c>
      <c r="AD55" s="4">
        <f>38+2077</f>
        <v>2115</v>
      </c>
      <c r="AE55" s="4">
        <f>247+7084</f>
        <v>7331</v>
      </c>
      <c r="AF55" s="4">
        <f>312+13136</f>
        <v>13448</v>
      </c>
      <c r="AG55" s="4">
        <f>281+13165</f>
        <v>13446</v>
      </c>
      <c r="AH55" s="4">
        <f>1604+12107</f>
        <v>13711</v>
      </c>
      <c r="AI55" s="4">
        <f>2634+20036</f>
        <v>22670</v>
      </c>
      <c r="AJ55" s="4">
        <f>4634+20649</f>
        <v>25283</v>
      </c>
      <c r="AK55" s="4">
        <f>1776+25037</f>
        <v>26813</v>
      </c>
      <c r="AL55" s="4">
        <f>1261+25098</f>
        <v>26359</v>
      </c>
      <c r="AM55" s="4">
        <f>3693+25308</f>
        <v>29001</v>
      </c>
      <c r="AN55" s="4">
        <f>2504+33897</f>
        <v>36401</v>
      </c>
      <c r="AO55" s="4">
        <f>4591+33510</f>
        <v>38101</v>
      </c>
      <c r="AP55" s="4">
        <f>4367+37684</f>
        <v>42051</v>
      </c>
      <c r="AQ55" s="21">
        <f>46978</f>
        <v>46978</v>
      </c>
    </row>
    <row r="56" spans="2:58" x14ac:dyDescent="0.25">
      <c r="B56" t="s">
        <v>90</v>
      </c>
      <c r="C56" s="12">
        <v>4638</v>
      </c>
      <c r="D56" s="12">
        <v>5045</v>
      </c>
      <c r="E56" s="12">
        <v>5159</v>
      </c>
      <c r="F56" s="10">
        <f t="shared" si="67"/>
        <v>5581</v>
      </c>
      <c r="G56" s="12">
        <v>5434</v>
      </c>
      <c r="H56" s="12">
        <v>5917</v>
      </c>
      <c r="I56" s="12">
        <v>6792</v>
      </c>
      <c r="J56" s="10">
        <f t="shared" si="68"/>
        <v>5747</v>
      </c>
      <c r="K56" s="12">
        <v>7210</v>
      </c>
      <c r="L56" s="12">
        <v>7945</v>
      </c>
      <c r="M56" s="12">
        <v>7133</v>
      </c>
      <c r="N56" s="10">
        <f t="shared" si="69"/>
        <v>9595</v>
      </c>
      <c r="O56" s="12">
        <v>8083</v>
      </c>
      <c r="P56" s="12">
        <v>8757</v>
      </c>
      <c r="Q56" s="12">
        <v>8669</v>
      </c>
      <c r="R56" s="10">
        <f t="shared" si="70"/>
        <v>8578</v>
      </c>
      <c r="S56" s="12">
        <v>8559</v>
      </c>
      <c r="T56" s="44">
        <v>9618</v>
      </c>
      <c r="Y56" s="4">
        <v>2249</v>
      </c>
      <c r="Z56" s="4">
        <v>2256</v>
      </c>
      <c r="AA56" s="4">
        <v>2361</v>
      </c>
      <c r="AB56" s="4">
        <v>2390</v>
      </c>
      <c r="AC56" s="4">
        <v>1883</v>
      </c>
      <c r="AD56" s="4">
        <v>2290</v>
      </c>
      <c r="AE56" s="4">
        <v>2956</v>
      </c>
      <c r="AF56" s="4">
        <v>3023</v>
      </c>
      <c r="AG56" s="4">
        <v>2969</v>
      </c>
      <c r="AH56" s="4">
        <v>2748</v>
      </c>
      <c r="AI56" s="4">
        <v>2063</v>
      </c>
      <c r="AJ56" s="4">
        <v>2475</v>
      </c>
      <c r="AK56" s="4">
        <v>2928</v>
      </c>
      <c r="AL56" s="4">
        <v>3824</v>
      </c>
      <c r="AM56" s="4">
        <v>4128</v>
      </c>
      <c r="AN56" s="4">
        <v>5581</v>
      </c>
      <c r="AO56" s="4">
        <v>5747</v>
      </c>
      <c r="AP56" s="4">
        <v>9595</v>
      </c>
      <c r="AQ56" s="21">
        <v>8578</v>
      </c>
    </row>
    <row r="57" spans="2:58" x14ac:dyDescent="0.25">
      <c r="B57" t="s">
        <v>91</v>
      </c>
      <c r="C57" s="12">
        <v>2358</v>
      </c>
      <c r="D57" s="12">
        <v>2833</v>
      </c>
      <c r="E57" s="12">
        <v>3197</v>
      </c>
      <c r="F57" s="10">
        <f t="shared" si="67"/>
        <v>3999</v>
      </c>
      <c r="G57" s="12">
        <v>2757</v>
      </c>
      <c r="H57" s="12">
        <v>3176</v>
      </c>
      <c r="I57" s="12">
        <v>4026</v>
      </c>
      <c r="J57" s="10">
        <f t="shared" si="68"/>
        <v>4535</v>
      </c>
      <c r="K57" s="12">
        <v>2731</v>
      </c>
      <c r="L57" s="12">
        <v>2730</v>
      </c>
      <c r="M57" s="12">
        <v>3421</v>
      </c>
      <c r="N57" s="10">
        <f t="shared" si="69"/>
        <v>4084</v>
      </c>
      <c r="O57" s="12">
        <v>2497</v>
      </c>
      <c r="P57" s="12">
        <v>2887</v>
      </c>
      <c r="Q57" s="12">
        <v>3115</v>
      </c>
      <c r="R57" s="10">
        <f t="shared" si="70"/>
        <v>3655</v>
      </c>
      <c r="S57" s="12">
        <v>2506</v>
      </c>
      <c r="T57" s="44">
        <v>2651</v>
      </c>
      <c r="Y57" s="4">
        <v>2110</v>
      </c>
      <c r="Z57" s="4">
        <v>1644</v>
      </c>
      <c r="AA57" s="4">
        <v>2417</v>
      </c>
      <c r="AB57" s="4">
        <v>2015</v>
      </c>
      <c r="AC57" s="4">
        <v>2448</v>
      </c>
      <c r="AD57" s="4">
        <v>2888</v>
      </c>
      <c r="AE57" s="4">
        <v>2948</v>
      </c>
      <c r="AF57" s="4">
        <v>2972</v>
      </c>
      <c r="AG57" s="4">
        <v>3123</v>
      </c>
      <c r="AH57" s="4">
        <v>3475</v>
      </c>
      <c r="AI57" s="4">
        <v>3138</v>
      </c>
      <c r="AJ57" s="4">
        <v>3465</v>
      </c>
      <c r="AK57" s="4">
        <v>3526</v>
      </c>
      <c r="AL57" s="4">
        <v>3622</v>
      </c>
      <c r="AM57" s="4">
        <v>3853</v>
      </c>
      <c r="AN57" s="4">
        <v>3999</v>
      </c>
      <c r="AO57" s="4">
        <v>4535</v>
      </c>
      <c r="AP57" s="4">
        <v>4084</v>
      </c>
      <c r="AQ57" s="21">
        <v>3655</v>
      </c>
    </row>
    <row r="58" spans="2:58" x14ac:dyDescent="0.25">
      <c r="B58" t="s">
        <v>76</v>
      </c>
      <c r="C58" s="12">
        <v>0</v>
      </c>
      <c r="D58" s="12">
        <v>0</v>
      </c>
      <c r="E58" s="12">
        <v>0</v>
      </c>
      <c r="F58" s="10">
        <f t="shared" si="67"/>
        <v>0</v>
      </c>
      <c r="G58">
        <v>0</v>
      </c>
      <c r="H58">
        <v>0</v>
      </c>
      <c r="I58">
        <v>0</v>
      </c>
      <c r="J58" s="10">
        <f t="shared" si="68"/>
        <v>0</v>
      </c>
      <c r="K58">
        <v>0</v>
      </c>
      <c r="L58">
        <v>0</v>
      </c>
      <c r="M58">
        <v>0</v>
      </c>
      <c r="N58" s="10">
        <f t="shared" si="69"/>
        <v>2251</v>
      </c>
      <c r="O58" s="12">
        <v>4046</v>
      </c>
      <c r="P58" s="12">
        <v>2169</v>
      </c>
      <c r="Q58" s="12">
        <v>2112</v>
      </c>
      <c r="R58" s="10">
        <f t="shared" si="70"/>
        <v>1107</v>
      </c>
      <c r="S58" s="12">
        <v>346</v>
      </c>
      <c r="T58" s="44">
        <v>1856</v>
      </c>
      <c r="Y58" s="4">
        <v>1960</v>
      </c>
      <c r="Z58" s="4">
        <v>1797</v>
      </c>
      <c r="AA58" s="4">
        <v>339</v>
      </c>
      <c r="AB58" s="4"/>
      <c r="AC58" s="4">
        <v>86</v>
      </c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>
        <v>2251</v>
      </c>
      <c r="AQ58" s="21">
        <v>1107</v>
      </c>
    </row>
    <row r="59" spans="2:58" x14ac:dyDescent="0.25">
      <c r="B59" t="s">
        <v>92</v>
      </c>
      <c r="C59" s="12">
        <v>13435</v>
      </c>
      <c r="D59" s="12">
        <v>12349</v>
      </c>
      <c r="E59" s="12">
        <v>13252</v>
      </c>
      <c r="F59" s="10">
        <f t="shared" si="67"/>
        <v>22458</v>
      </c>
      <c r="G59" s="12">
        <v>13313</v>
      </c>
      <c r="H59" s="12">
        <v>12048</v>
      </c>
      <c r="I59" s="12">
        <v>14060</v>
      </c>
      <c r="J59" s="10">
        <f t="shared" si="68"/>
        <v>19746</v>
      </c>
      <c r="K59" s="12">
        <v>14922</v>
      </c>
      <c r="L59" s="12">
        <v>13661</v>
      </c>
      <c r="M59" s="12">
        <v>14976</v>
      </c>
      <c r="N59" s="10">
        <f t="shared" si="69"/>
        <v>15856</v>
      </c>
      <c r="O59" s="12">
        <v>11330</v>
      </c>
      <c r="P59" s="12">
        <v>10656</v>
      </c>
      <c r="Q59" s="12">
        <v>12430</v>
      </c>
      <c r="R59" s="10">
        <f t="shared" si="70"/>
        <v>14713</v>
      </c>
      <c r="S59" s="12">
        <v>11221</v>
      </c>
      <c r="T59" s="44">
        <v>13207</v>
      </c>
      <c r="Y59" s="4">
        <f>810+2495</f>
        <v>3305</v>
      </c>
      <c r="Z59" s="4">
        <f>1192+1710</f>
        <v>2902</v>
      </c>
      <c r="AA59" s="4">
        <f>1938+2570</f>
        <v>4508</v>
      </c>
      <c r="AB59" s="4">
        <f>2041+2052</f>
        <v>4093</v>
      </c>
      <c r="AC59" s="4">
        <f>1636+2114</f>
        <v>3750</v>
      </c>
      <c r="AD59" s="4">
        <f>2482+2745</f>
        <v>5227</v>
      </c>
      <c r="AE59" s="4">
        <f>2814+5680</f>
        <v>8494</v>
      </c>
      <c r="AF59" s="4">
        <f>3644+6359</f>
        <v>10003</v>
      </c>
      <c r="AG59" s="4">
        <f>4078+7514</f>
        <v>11592</v>
      </c>
      <c r="AH59" s="4">
        <f>4895+7984</f>
        <v>12879</v>
      </c>
      <c r="AI59" s="4">
        <f>4684+6584</f>
        <v>11268</v>
      </c>
      <c r="AJ59" s="4">
        <f>5280+7060</f>
        <v>12340</v>
      </c>
      <c r="AK59" s="4">
        <f>7535+5568</f>
        <v>13103</v>
      </c>
      <c r="AL59" s="4">
        <f>7919+9030</f>
        <v>16949</v>
      </c>
      <c r="AM59" s="4">
        <f>10636+8486</f>
        <v>19122</v>
      </c>
      <c r="AN59" s="4">
        <f>12670+9788</f>
        <v>22458</v>
      </c>
      <c r="AO59" s="4">
        <f>12589+7157</f>
        <v>19746</v>
      </c>
      <c r="AP59" s="4">
        <f>11858+3998</f>
        <v>15856</v>
      </c>
      <c r="AQ59" s="21">
        <f>12425+2288</f>
        <v>14713</v>
      </c>
    </row>
    <row r="60" spans="2:58" x14ac:dyDescent="0.25">
      <c r="B60" t="s">
        <v>93</v>
      </c>
      <c r="C60" s="12">
        <f>2975+4651+2027</f>
        <v>9653</v>
      </c>
      <c r="D60" s="12">
        <f>3108+8014</f>
        <v>11122</v>
      </c>
      <c r="E60" s="12">
        <f>1381+4811+2995+3349</f>
        <v>12536</v>
      </c>
      <c r="F60" s="10">
        <f t="shared" si="67"/>
        <v>3614</v>
      </c>
      <c r="G60" s="12">
        <f>5322+3410+4605+90</f>
        <v>13427</v>
      </c>
      <c r="H60" s="12">
        <f>68+4172+3271+5329</f>
        <v>12840</v>
      </c>
      <c r="I60" s="12">
        <f>62+4223+3019+5389</f>
        <v>12693</v>
      </c>
      <c r="J60" s="10">
        <f t="shared" si="68"/>
        <v>4886</v>
      </c>
      <c r="K60" s="12">
        <f>4372+1547+5191</f>
        <v>11110</v>
      </c>
      <c r="L60" s="12">
        <f>3684+572+5178</f>
        <v>9434</v>
      </c>
      <c r="M60" s="12">
        <f>3782+361+5760</f>
        <v>9903</v>
      </c>
      <c r="N60" s="10">
        <f t="shared" si="69"/>
        <v>4980</v>
      </c>
      <c r="O60" s="12">
        <f>4840+3831</f>
        <v>8671</v>
      </c>
      <c r="P60" s="12">
        <v>7643</v>
      </c>
      <c r="Q60" s="12">
        <v>7946</v>
      </c>
      <c r="R60" s="10">
        <f t="shared" si="70"/>
        <v>6576</v>
      </c>
      <c r="S60" s="12">
        <v>6895</v>
      </c>
      <c r="T60" s="44">
        <v>5410</v>
      </c>
      <c r="Y60" s="4">
        <v>89</v>
      </c>
      <c r="Z60" s="4">
        <v>989</v>
      </c>
      <c r="AA60" s="4">
        <v>1142</v>
      </c>
      <c r="AB60" s="4">
        <v>1141</v>
      </c>
      <c r="AC60" s="4">
        <v>1003</v>
      </c>
      <c r="AD60" s="4">
        <v>1236</v>
      </c>
      <c r="AE60" s="4">
        <v>3479</v>
      </c>
      <c r="AF60" s="4">
        <v>3702</v>
      </c>
      <c r="AG60" s="4">
        <v>2972</v>
      </c>
      <c r="AH60" s="4">
        <v>3278</v>
      </c>
      <c r="AI60" s="4">
        <v>2841</v>
      </c>
      <c r="AJ60" s="4">
        <v>3538</v>
      </c>
      <c r="AK60" s="4">
        <v>7860</v>
      </c>
      <c r="AL60" s="4">
        <v>2646</v>
      </c>
      <c r="AM60" s="4">
        <v>2916</v>
      </c>
      <c r="AN60" s="4">
        <v>3614</v>
      </c>
      <c r="AO60" s="4">
        <v>4886</v>
      </c>
      <c r="AP60" s="4">
        <v>4980</v>
      </c>
      <c r="AQ60" s="21">
        <v>6576</v>
      </c>
    </row>
    <row r="61" spans="2:58" x14ac:dyDescent="0.25">
      <c r="B61" t="s">
        <v>94</v>
      </c>
      <c r="C61" s="12">
        <v>76354</v>
      </c>
      <c r="D61" s="12">
        <v>82010</v>
      </c>
      <c r="E61" s="12">
        <v>74554</v>
      </c>
      <c r="F61" s="10">
        <f t="shared" si="67"/>
        <v>81038</v>
      </c>
      <c r="G61" s="12">
        <v>79807</v>
      </c>
      <c r="H61" s="12">
        <v>85207</v>
      </c>
      <c r="I61" s="12">
        <v>90087</v>
      </c>
      <c r="J61" s="10">
        <f t="shared" si="68"/>
        <v>95391</v>
      </c>
      <c r="K61" s="12">
        <v>103136</v>
      </c>
      <c r="L61" s="12">
        <v>101218</v>
      </c>
      <c r="M61" s="12">
        <v>99885</v>
      </c>
      <c r="N61" s="10">
        <f t="shared" si="69"/>
        <v>103286</v>
      </c>
      <c r="O61" s="12">
        <v>100403</v>
      </c>
      <c r="P61" s="12">
        <v>104471</v>
      </c>
      <c r="Q61" s="12">
        <v>105686</v>
      </c>
      <c r="R61" s="10">
        <f t="shared" si="70"/>
        <v>109965</v>
      </c>
      <c r="S61" s="12">
        <v>110756</v>
      </c>
      <c r="T61" s="44">
        <v>120434</v>
      </c>
      <c r="Y61" s="4">
        <v>36182</v>
      </c>
      <c r="Z61" s="4">
        <v>36752</v>
      </c>
      <c r="AA61" s="4">
        <v>42762</v>
      </c>
      <c r="AB61" s="4">
        <v>39088</v>
      </c>
      <c r="AC61" s="4">
        <v>41704</v>
      </c>
      <c r="AD61" s="4">
        <v>49430</v>
      </c>
      <c r="AE61" s="4">
        <v>45911</v>
      </c>
      <c r="AF61" s="4">
        <v>51203</v>
      </c>
      <c r="AG61" s="4">
        <v>58256</v>
      </c>
      <c r="AH61" s="4">
        <v>55865</v>
      </c>
      <c r="AI61" s="4">
        <v>61085</v>
      </c>
      <c r="AJ61" s="4">
        <v>66226</v>
      </c>
      <c r="AK61" s="4">
        <v>69019</v>
      </c>
      <c r="AL61" s="4">
        <v>74563</v>
      </c>
      <c r="AM61" s="4">
        <v>77504</v>
      </c>
      <c r="AN61" s="4">
        <v>81038</v>
      </c>
      <c r="AO61" s="4">
        <v>95391</v>
      </c>
      <c r="AP61" s="4">
        <v>103286</v>
      </c>
      <c r="AQ61" s="21">
        <v>109965</v>
      </c>
    </row>
    <row r="62" spans="2:58" x14ac:dyDescent="0.25">
      <c r="B62" t="s">
        <v>95</v>
      </c>
      <c r="C62" s="12">
        <f t="shared" ref="C62:S62" si="71">SUM(C55:C61)</f>
        <v>147710</v>
      </c>
      <c r="D62" s="12">
        <f t="shared" si="71"/>
        <v>152539</v>
      </c>
      <c r="E62" s="12">
        <f t="shared" si="71"/>
        <v>145261</v>
      </c>
      <c r="F62" s="12">
        <f t="shared" si="71"/>
        <v>153091</v>
      </c>
      <c r="G62" s="12">
        <f t="shared" si="71"/>
        <v>150622</v>
      </c>
      <c r="H62" s="12">
        <f t="shared" si="71"/>
        <v>154597</v>
      </c>
      <c r="I62" s="12">
        <f t="shared" si="71"/>
        <v>167962</v>
      </c>
      <c r="J62" s="12">
        <f t="shared" si="71"/>
        <v>168406</v>
      </c>
      <c r="K62" s="12">
        <f t="shared" si="71"/>
        <v>176356</v>
      </c>
      <c r="L62" s="12">
        <f t="shared" si="71"/>
        <v>170418</v>
      </c>
      <c r="M62" s="12">
        <f t="shared" si="71"/>
        <v>174841</v>
      </c>
      <c r="N62" s="12">
        <f t="shared" si="71"/>
        <v>182103</v>
      </c>
      <c r="O62" s="12">
        <f t="shared" si="71"/>
        <v>185303</v>
      </c>
      <c r="P62" s="12">
        <f t="shared" si="71"/>
        <v>185629</v>
      </c>
      <c r="Q62" s="12">
        <f t="shared" si="71"/>
        <v>188837</v>
      </c>
      <c r="R62" s="12">
        <f t="shared" si="71"/>
        <v>191572</v>
      </c>
      <c r="S62" s="12">
        <f t="shared" si="71"/>
        <v>192733</v>
      </c>
      <c r="T62" s="44">
        <v>206205</v>
      </c>
      <c r="Y62" s="4">
        <f>SUM(Y55:Y61)</f>
        <v>48314</v>
      </c>
      <c r="Z62" s="4">
        <f t="shared" ref="Z62:AP62" si="72">SUM(Z55:Z61)</f>
        <v>48368</v>
      </c>
      <c r="AA62" s="4">
        <f t="shared" si="72"/>
        <v>55651</v>
      </c>
      <c r="AB62" s="4">
        <f t="shared" si="72"/>
        <v>50715</v>
      </c>
      <c r="AC62" s="4">
        <f t="shared" si="72"/>
        <v>53095</v>
      </c>
      <c r="AD62" s="4">
        <f t="shared" si="72"/>
        <v>63186</v>
      </c>
      <c r="AE62" s="4">
        <f t="shared" si="72"/>
        <v>71119</v>
      </c>
      <c r="AF62" s="4">
        <f t="shared" si="72"/>
        <v>84351</v>
      </c>
      <c r="AG62" s="4">
        <f t="shared" si="72"/>
        <v>92358</v>
      </c>
      <c r="AH62" s="4">
        <f t="shared" si="72"/>
        <v>91956</v>
      </c>
      <c r="AI62" s="4">
        <f t="shared" si="72"/>
        <v>103065</v>
      </c>
      <c r="AJ62" s="4">
        <f t="shared" si="72"/>
        <v>113327</v>
      </c>
      <c r="AK62" s="4">
        <f t="shared" si="72"/>
        <v>123249</v>
      </c>
      <c r="AL62" s="4">
        <f t="shared" si="72"/>
        <v>127963</v>
      </c>
      <c r="AM62" s="4">
        <f t="shared" si="72"/>
        <v>136524</v>
      </c>
      <c r="AN62" s="4">
        <f t="shared" si="72"/>
        <v>153091</v>
      </c>
      <c r="AO62" s="4">
        <f t="shared" si="72"/>
        <v>168406</v>
      </c>
      <c r="AP62" s="4">
        <f t="shared" si="72"/>
        <v>182103</v>
      </c>
      <c r="AQ62" s="21">
        <f>SUM(AQ55:AQ61)</f>
        <v>191572</v>
      </c>
    </row>
    <row r="63" spans="2:58" x14ac:dyDescent="0.25"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49"/>
    </row>
    <row r="64" spans="2:58" x14ac:dyDescent="0.25">
      <c r="B64" t="s">
        <v>96</v>
      </c>
      <c r="S64" s="10">
        <f>+S34</f>
        <v>-576</v>
      </c>
      <c r="T64" s="49">
        <f>+T34</f>
        <v>-941</v>
      </c>
      <c r="Y64" s="12">
        <f>Y34</f>
        <v>7705</v>
      </c>
      <c r="Z64" s="12">
        <f t="shared" ref="Z64:AQ64" si="73">Z34</f>
        <v>3023</v>
      </c>
      <c r="AA64" s="12">
        <f t="shared" si="73"/>
        <v>5765</v>
      </c>
      <c r="AB64" s="12">
        <f t="shared" si="73"/>
        <v>6782</v>
      </c>
      <c r="AC64" s="12">
        <f t="shared" si="73"/>
        <v>4479</v>
      </c>
      <c r="AD64" s="12">
        <f t="shared" si="73"/>
        <v>10916</v>
      </c>
      <c r="AE64" s="12">
        <f t="shared" si="73"/>
        <v>12706</v>
      </c>
      <c r="AF64" s="12">
        <f t="shared" si="73"/>
        <v>10984</v>
      </c>
      <c r="AG64" s="12">
        <f t="shared" si="73"/>
        <v>9680</v>
      </c>
      <c r="AH64" s="12">
        <f t="shared" si="73"/>
        <v>11882</v>
      </c>
      <c r="AI64" s="12">
        <f t="shared" si="73"/>
        <v>11724</v>
      </c>
      <c r="AJ64" s="12">
        <f t="shared" si="73"/>
        <v>11990</v>
      </c>
      <c r="AK64" s="12">
        <f t="shared" si="73"/>
        <v>18262</v>
      </c>
      <c r="AL64" s="12">
        <f t="shared" si="73"/>
        <v>21106</v>
      </c>
      <c r="AM64" s="12">
        <f t="shared" si="73"/>
        <v>19902</v>
      </c>
      <c r="AN64" s="12">
        <f t="shared" si="73"/>
        <v>19193</v>
      </c>
      <c r="AO64" s="12">
        <f>AO34</f>
        <v>19765</v>
      </c>
      <c r="AP64" s="12">
        <f t="shared" si="73"/>
        <v>3751</v>
      </c>
      <c r="AQ64" s="12">
        <f t="shared" si="73"/>
        <v>532</v>
      </c>
    </row>
    <row r="65" spans="2:55" x14ac:dyDescent="0.25">
      <c r="B65" t="s">
        <v>97</v>
      </c>
      <c r="S65">
        <v>-437</v>
      </c>
      <c r="T65" s="43">
        <f>-2091-S65</f>
        <v>-1654</v>
      </c>
      <c r="Y65" s="12">
        <v>8664</v>
      </c>
      <c r="Z65" s="12">
        <v>5044</v>
      </c>
      <c r="AA65" s="12">
        <v>6976</v>
      </c>
      <c r="AB65" s="12">
        <v>5292</v>
      </c>
      <c r="AC65" s="12">
        <v>4369</v>
      </c>
      <c r="AD65" s="12">
        <v>11464</v>
      </c>
      <c r="AE65" s="12">
        <v>12942</v>
      </c>
      <c r="AF65" s="12">
        <v>11005</v>
      </c>
      <c r="AG65" s="12">
        <v>9620</v>
      </c>
      <c r="AH65" s="12">
        <v>11704</v>
      </c>
      <c r="AI65" s="12">
        <v>11420</v>
      </c>
      <c r="AJ65" s="12">
        <v>10316</v>
      </c>
      <c r="AK65" s="12">
        <v>9601</v>
      </c>
      <c r="AL65" s="12">
        <v>21053</v>
      </c>
      <c r="AM65" s="12">
        <v>21048</v>
      </c>
      <c r="AN65" s="12">
        <v>20899</v>
      </c>
      <c r="AO65" s="12">
        <v>19868</v>
      </c>
      <c r="AP65" s="12">
        <v>8017</v>
      </c>
      <c r="AQ65" s="44">
        <v>1675</v>
      </c>
    </row>
    <row r="66" spans="2:55" x14ac:dyDescent="0.25">
      <c r="B66" t="s">
        <v>98</v>
      </c>
      <c r="S66">
        <v>2200</v>
      </c>
      <c r="T66" s="43">
        <f>4403-S66</f>
        <v>2203</v>
      </c>
      <c r="Y66" s="12">
        <v>4345</v>
      </c>
      <c r="Z66" s="12">
        <v>4654</v>
      </c>
      <c r="AA66" s="12">
        <v>4546</v>
      </c>
      <c r="AB66" s="12">
        <v>4360</v>
      </c>
      <c r="AC66" s="12">
        <v>4744</v>
      </c>
      <c r="AD66" s="12">
        <v>4398</v>
      </c>
      <c r="AE66" s="12">
        <v>5141</v>
      </c>
      <c r="AF66" s="12">
        <v>6357</v>
      </c>
      <c r="AG66" s="12">
        <v>6790</v>
      </c>
      <c r="AH66" s="12">
        <v>7380</v>
      </c>
      <c r="AI66" s="12">
        <v>7821</v>
      </c>
      <c r="AJ66" s="12">
        <v>6266</v>
      </c>
      <c r="AK66" s="12">
        <v>6752</v>
      </c>
      <c r="AL66" s="12">
        <v>7520</v>
      </c>
      <c r="AM66" s="12">
        <v>9204</v>
      </c>
      <c r="AN66" s="12">
        <v>10482</v>
      </c>
      <c r="AO66" s="12">
        <v>9953</v>
      </c>
      <c r="AP66" s="12">
        <v>11128</v>
      </c>
      <c r="AQ66" s="44">
        <v>7847</v>
      </c>
    </row>
    <row r="67" spans="2:55" x14ac:dyDescent="0.25">
      <c r="B67" t="s">
        <v>99</v>
      </c>
      <c r="S67">
        <v>1179</v>
      </c>
      <c r="T67" s="43">
        <f>1959-S67</f>
        <v>780</v>
      </c>
      <c r="Y67" s="12">
        <v>0</v>
      </c>
      <c r="Z67" s="12">
        <v>1375</v>
      </c>
      <c r="AA67" s="12">
        <v>952</v>
      </c>
      <c r="AB67" s="12">
        <v>851</v>
      </c>
      <c r="AC67" s="12">
        <v>889</v>
      </c>
      <c r="AD67" s="12">
        <v>917</v>
      </c>
      <c r="AE67" s="12">
        <v>1053</v>
      </c>
      <c r="AF67" s="12">
        <v>1102</v>
      </c>
      <c r="AG67" s="12">
        <v>1118</v>
      </c>
      <c r="AH67" s="12">
        <v>1148</v>
      </c>
      <c r="AI67" s="12">
        <v>1305</v>
      </c>
      <c r="AJ67" s="12">
        <v>1444</v>
      </c>
      <c r="AK67" s="12">
        <v>1358</v>
      </c>
      <c r="AL67" s="12">
        <v>1546</v>
      </c>
      <c r="AM67" s="12">
        <v>1705</v>
      </c>
      <c r="AN67" s="12">
        <v>1854</v>
      </c>
      <c r="AO67" s="12">
        <v>2036</v>
      </c>
      <c r="AP67" s="12">
        <v>3128</v>
      </c>
      <c r="AQ67" s="44">
        <v>3229</v>
      </c>
    </row>
    <row r="68" spans="2:55" x14ac:dyDescent="0.25">
      <c r="B68" t="s">
        <v>100</v>
      </c>
      <c r="S68">
        <v>348</v>
      </c>
      <c r="T68" s="43">
        <f>1291-S68</f>
        <v>943</v>
      </c>
      <c r="Y68" s="12">
        <v>0</v>
      </c>
      <c r="Z68" s="12">
        <v>555</v>
      </c>
      <c r="AA68" s="12">
        <v>516</v>
      </c>
      <c r="AB68" s="12">
        <v>710</v>
      </c>
      <c r="AC68" s="12">
        <v>231</v>
      </c>
      <c r="AD68" s="12">
        <v>0</v>
      </c>
      <c r="AE68" s="12">
        <v>0</v>
      </c>
      <c r="AF68" s="12">
        <v>0</v>
      </c>
      <c r="AG68" s="12">
        <v>240</v>
      </c>
      <c r="AH68" s="12">
        <v>295</v>
      </c>
      <c r="AI68" s="12">
        <v>354</v>
      </c>
      <c r="AJ68" s="12">
        <v>1886</v>
      </c>
      <c r="AK68" s="12">
        <v>384</v>
      </c>
      <c r="AL68" s="12">
        <v>-72</v>
      </c>
      <c r="AM68" s="12">
        <v>393</v>
      </c>
      <c r="AN68" s="12">
        <v>198</v>
      </c>
      <c r="AO68" s="12">
        <v>2626</v>
      </c>
      <c r="AP68" s="12">
        <v>1074</v>
      </c>
      <c r="AQ68" s="44">
        <v>-424</v>
      </c>
    </row>
    <row r="69" spans="2:55" x14ac:dyDescent="0.25">
      <c r="B69" t="s">
        <v>101</v>
      </c>
      <c r="S69">
        <v>351</v>
      </c>
      <c r="T69" s="43">
        <f>717-S69</f>
        <v>366</v>
      </c>
      <c r="Y69" s="12">
        <v>0</v>
      </c>
      <c r="Z69" s="12">
        <v>0</v>
      </c>
      <c r="AA69" s="12">
        <v>0</v>
      </c>
      <c r="AB69" s="12">
        <v>256</v>
      </c>
      <c r="AC69" s="12">
        <v>0</v>
      </c>
      <c r="AD69" s="12">
        <v>240</v>
      </c>
      <c r="AE69" s="12">
        <v>923</v>
      </c>
      <c r="AF69" s="12">
        <v>1165</v>
      </c>
      <c r="AG69" s="12">
        <v>1242</v>
      </c>
      <c r="AH69" s="12">
        <v>1169</v>
      </c>
      <c r="AI69" s="12">
        <v>890</v>
      </c>
      <c r="AJ69" s="12">
        <v>1524</v>
      </c>
      <c r="AK69" s="12">
        <v>1377</v>
      </c>
      <c r="AL69" s="12">
        <v>1565</v>
      </c>
      <c r="AM69" s="12">
        <v>1622</v>
      </c>
      <c r="AN69" s="12">
        <v>1757</v>
      </c>
      <c r="AO69" s="12">
        <v>1839</v>
      </c>
      <c r="AP69" s="12">
        <v>1907</v>
      </c>
      <c r="AQ69" s="44">
        <v>1755</v>
      </c>
    </row>
    <row r="70" spans="2:55" x14ac:dyDescent="0.25">
      <c r="B70" t="s">
        <v>102</v>
      </c>
      <c r="S70">
        <v>-208</v>
      </c>
      <c r="T70" s="43">
        <f>-84-S70</f>
        <v>124</v>
      </c>
      <c r="Y70" s="12">
        <v>45</v>
      </c>
      <c r="Z70" s="12">
        <v>-214</v>
      </c>
      <c r="AA70" s="12">
        <v>-157</v>
      </c>
      <c r="AB70" s="12">
        <f>1380+376</f>
        <v>1756</v>
      </c>
      <c r="AC70" s="12">
        <f>147+23</f>
        <v>170</v>
      </c>
      <c r="AD70" s="12">
        <f>-117+-231</f>
        <v>-348</v>
      </c>
      <c r="AE70" s="12">
        <v>-112</v>
      </c>
      <c r="AF70" s="12">
        <v>-141</v>
      </c>
      <c r="AG70" s="12">
        <v>-425</v>
      </c>
      <c r="AH70" s="12">
        <v>-354</v>
      </c>
      <c r="AI70" s="12">
        <v>-263</v>
      </c>
      <c r="AJ70" s="12">
        <v>-432</v>
      </c>
      <c r="AK70" s="12">
        <v>-2583</v>
      </c>
      <c r="AL70" s="12">
        <v>155</v>
      </c>
      <c r="AM70" s="12">
        <v>-892</v>
      </c>
      <c r="AN70" s="12">
        <v>-1757</v>
      </c>
      <c r="AO70" s="12">
        <v>-1458</v>
      </c>
      <c r="AP70" s="12">
        <v>-4254</v>
      </c>
      <c r="AQ70" s="44">
        <v>-42</v>
      </c>
    </row>
    <row r="71" spans="2:55" x14ac:dyDescent="0.25">
      <c r="B71" t="s">
        <v>103</v>
      </c>
      <c r="S71">
        <v>0</v>
      </c>
      <c r="T71" s="43">
        <v>0</v>
      </c>
      <c r="Y71" s="12">
        <v>0</v>
      </c>
      <c r="Z71" s="12">
        <v>-612</v>
      </c>
      <c r="AA71" s="12">
        <v>-21</v>
      </c>
      <c r="AB71" s="12">
        <v>-59</v>
      </c>
      <c r="AC71" s="12">
        <v>0</v>
      </c>
      <c r="AD71" s="12">
        <v>0</v>
      </c>
      <c r="AE71" s="12">
        <v>-164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-387</v>
      </c>
      <c r="AL71" s="12">
        <v>-497</v>
      </c>
      <c r="AM71" s="12">
        <v>-690</v>
      </c>
      <c r="AN71" s="12">
        <v>-30</v>
      </c>
      <c r="AO71" s="12">
        <v>0</v>
      </c>
      <c r="AP71" s="12">
        <v>-1059</v>
      </c>
      <c r="AQ71" s="44">
        <v>962</v>
      </c>
    </row>
    <row r="72" spans="2:55" x14ac:dyDescent="0.25">
      <c r="B72" t="s">
        <v>104</v>
      </c>
      <c r="S72">
        <f>80-366-386-1289-591-2104</f>
        <v>-4656</v>
      </c>
      <c r="T72" s="43">
        <f>272-116+184-1309-2174-1983-S72</f>
        <v>-470</v>
      </c>
      <c r="Y72" s="12">
        <v>1797</v>
      </c>
      <c r="Z72" s="12">
        <v>-170</v>
      </c>
      <c r="AA72" s="12">
        <v>-187</v>
      </c>
      <c r="AB72" s="12">
        <v>-2240</v>
      </c>
      <c r="AC72" s="12">
        <v>-9233</v>
      </c>
      <c r="AD72" s="12">
        <v>21</v>
      </c>
      <c r="AE72" s="12">
        <v>1180</v>
      </c>
      <c r="AF72" s="12">
        <v>-604</v>
      </c>
      <c r="AG72" s="12">
        <v>2191</v>
      </c>
      <c r="AH72" s="12">
        <v>-924</v>
      </c>
      <c r="AI72" s="12">
        <v>-2510</v>
      </c>
      <c r="AJ72" s="12">
        <v>804</v>
      </c>
      <c r="AK72" s="12">
        <v>5608</v>
      </c>
      <c r="AL72" s="12">
        <v>-1838</v>
      </c>
      <c r="AM72" s="12">
        <v>755</v>
      </c>
      <c r="AN72" s="12">
        <f>883-687+405+348-181+1620+73</f>
        <v>2461</v>
      </c>
      <c r="AO72" s="12">
        <f>-2674-2339+1190+515-1583-441-76</f>
        <v>-5408</v>
      </c>
      <c r="AP72" s="12">
        <f>5327-2436-29-1533-24-4535-1278</f>
        <v>-4508</v>
      </c>
      <c r="AQ72" s="44">
        <f>731+2097-801-614-3531-451</f>
        <v>-2569</v>
      </c>
    </row>
    <row r="73" spans="2:55" x14ac:dyDescent="0.25">
      <c r="B73" t="s">
        <v>105</v>
      </c>
      <c r="S73">
        <f>SUM(S65:S72)</f>
        <v>-1223</v>
      </c>
      <c r="T73" s="43">
        <f>SUM(T65:T72)</f>
        <v>2292</v>
      </c>
      <c r="U73">
        <f>+T73</f>
        <v>2292</v>
      </c>
      <c r="V73">
        <f>+U73</f>
        <v>2292</v>
      </c>
      <c r="Y73" s="12">
        <f>SUM(Y65:Y72)</f>
        <v>14851</v>
      </c>
      <c r="Z73" s="12">
        <f t="shared" ref="Z73:AM73" si="74">SUM(Z65:Z72)</f>
        <v>10632</v>
      </c>
      <c r="AA73" s="12">
        <f t="shared" si="74"/>
        <v>12625</v>
      </c>
      <c r="AB73" s="12">
        <f t="shared" si="74"/>
        <v>10926</v>
      </c>
      <c r="AC73" s="12">
        <f t="shared" si="74"/>
        <v>1170</v>
      </c>
      <c r="AD73" s="12">
        <f t="shared" si="74"/>
        <v>16692</v>
      </c>
      <c r="AE73" s="12">
        <f t="shared" si="74"/>
        <v>20963</v>
      </c>
      <c r="AF73" s="12">
        <f t="shared" si="74"/>
        <v>18884</v>
      </c>
      <c r="AG73" s="12">
        <f t="shared" si="74"/>
        <v>20776</v>
      </c>
      <c r="AH73" s="12">
        <f t="shared" si="74"/>
        <v>20418</v>
      </c>
      <c r="AI73" s="12">
        <f t="shared" si="74"/>
        <v>19017</v>
      </c>
      <c r="AJ73" s="12">
        <f t="shared" si="74"/>
        <v>21808</v>
      </c>
      <c r="AK73" s="12">
        <f t="shared" si="74"/>
        <v>22110</v>
      </c>
      <c r="AL73" s="12">
        <f t="shared" si="74"/>
        <v>29432</v>
      </c>
      <c r="AM73" s="12">
        <f t="shared" si="74"/>
        <v>33145</v>
      </c>
      <c r="AN73" s="12">
        <f>SUM(AN65:AN72)</f>
        <v>35864</v>
      </c>
      <c r="AO73" s="12">
        <f>SUM(AO65:AO72)</f>
        <v>29456</v>
      </c>
      <c r="AP73" s="12">
        <f>SUM(AP65:AP72)</f>
        <v>15433</v>
      </c>
      <c r="AQ73" s="44">
        <v>11471</v>
      </c>
    </row>
    <row r="74" spans="2:55" x14ac:dyDescent="0.25"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44"/>
    </row>
    <row r="75" spans="2:55" x14ac:dyDescent="0.25">
      <c r="B75" t="s">
        <v>106</v>
      </c>
      <c r="S75">
        <v>-5970</v>
      </c>
      <c r="T75" s="43">
        <f>-11652-S75</f>
        <v>-5682</v>
      </c>
      <c r="U75">
        <f>+T75</f>
        <v>-5682</v>
      </c>
      <c r="V75">
        <f>+U75</f>
        <v>-5682</v>
      </c>
      <c r="Y75" s="12">
        <v>5871</v>
      </c>
      <c r="Z75" s="12">
        <v>5860</v>
      </c>
      <c r="AA75" s="12">
        <v>5000</v>
      </c>
      <c r="AB75" s="12">
        <v>5197</v>
      </c>
      <c r="AC75" s="12">
        <v>4515</v>
      </c>
      <c r="AD75" s="12">
        <v>5207</v>
      </c>
      <c r="AE75" s="12">
        <v>5207</v>
      </c>
      <c r="AF75" s="12">
        <v>11027</v>
      </c>
      <c r="AG75" s="12">
        <v>10711</v>
      </c>
      <c r="AH75" s="12">
        <v>10105</v>
      </c>
      <c r="AI75" s="12">
        <v>7326</v>
      </c>
      <c r="AJ75" s="12">
        <v>9625</v>
      </c>
      <c r="AK75" s="12">
        <v>11778</v>
      </c>
      <c r="AL75" s="12">
        <v>-15181</v>
      </c>
      <c r="AM75" s="12">
        <v>-16213</v>
      </c>
      <c r="AN75" s="12">
        <v>-14259</v>
      </c>
      <c r="AO75" s="12">
        <v>-18733</v>
      </c>
      <c r="AP75" s="12">
        <v>-24844</v>
      </c>
      <c r="AQ75" s="44">
        <v>-25750</v>
      </c>
    </row>
    <row r="76" spans="2:55" x14ac:dyDescent="0.25">
      <c r="B76" s="2" t="s">
        <v>107</v>
      </c>
      <c r="S76">
        <f>+S73+S75</f>
        <v>-7193</v>
      </c>
      <c r="T76" s="43">
        <f>+T73+T75</f>
        <v>-3390</v>
      </c>
      <c r="U76">
        <f>+T76</f>
        <v>-3390</v>
      </c>
      <c r="V76">
        <f>+U76</f>
        <v>-3390</v>
      </c>
      <c r="Y76" s="14">
        <f>+Y73+Y75</f>
        <v>20722</v>
      </c>
      <c r="Z76" s="14">
        <f t="shared" ref="Z76:AM76" si="75">+Z73+Z75</f>
        <v>16492</v>
      </c>
      <c r="AA76" s="14">
        <f t="shared" si="75"/>
        <v>17625</v>
      </c>
      <c r="AB76" s="14">
        <f t="shared" si="75"/>
        <v>16123</v>
      </c>
      <c r="AC76" s="14">
        <f t="shared" si="75"/>
        <v>5685</v>
      </c>
      <c r="AD76" s="14">
        <f t="shared" si="75"/>
        <v>21899</v>
      </c>
      <c r="AE76" s="14">
        <f t="shared" si="75"/>
        <v>26170</v>
      </c>
      <c r="AF76" s="14">
        <f t="shared" si="75"/>
        <v>29911</v>
      </c>
      <c r="AG76" s="14">
        <f t="shared" si="75"/>
        <v>31487</v>
      </c>
      <c r="AH76" s="14">
        <f t="shared" si="75"/>
        <v>30523</v>
      </c>
      <c r="AI76" s="14">
        <f t="shared" si="75"/>
        <v>26343</v>
      </c>
      <c r="AJ76" s="14">
        <f t="shared" si="75"/>
        <v>31433</v>
      </c>
      <c r="AK76" s="14">
        <f t="shared" si="75"/>
        <v>33888</v>
      </c>
      <c r="AL76" s="14">
        <f t="shared" si="75"/>
        <v>14251</v>
      </c>
      <c r="AM76" s="14">
        <f t="shared" si="75"/>
        <v>16932</v>
      </c>
      <c r="AN76" s="14">
        <f>+AN73+AN75</f>
        <v>21605</v>
      </c>
      <c r="AO76" s="14">
        <f>+AO73+AO75</f>
        <v>10723</v>
      </c>
      <c r="AP76" s="14">
        <f>+AP73+AP75</f>
        <v>-9411</v>
      </c>
      <c r="AQ76" s="57">
        <f>+AQ73+AQ75</f>
        <v>-14279</v>
      </c>
      <c r="AR76" s="57">
        <f>+AR73+AR75</f>
        <v>0</v>
      </c>
      <c r="AS76" s="57">
        <f t="shared" ref="AR76:BC76" si="76">+AS73+AS75</f>
        <v>0</v>
      </c>
      <c r="AT76" s="57">
        <f t="shared" si="76"/>
        <v>0</v>
      </c>
      <c r="AU76" s="57">
        <f t="shared" si="76"/>
        <v>0</v>
      </c>
      <c r="AV76" s="57">
        <f t="shared" si="76"/>
        <v>0</v>
      </c>
      <c r="AW76" s="57">
        <f t="shared" si="76"/>
        <v>0</v>
      </c>
      <c r="AX76" s="57">
        <f t="shared" si="76"/>
        <v>0</v>
      </c>
      <c r="AY76" s="57">
        <f t="shared" si="76"/>
        <v>0</v>
      </c>
      <c r="AZ76" s="57">
        <f t="shared" si="76"/>
        <v>0</v>
      </c>
      <c r="BA76" s="57">
        <f t="shared" si="76"/>
        <v>0</v>
      </c>
      <c r="BB76" s="57">
        <f t="shared" si="76"/>
        <v>0</v>
      </c>
      <c r="BC76" s="57">
        <f t="shared" si="76"/>
        <v>0</v>
      </c>
    </row>
    <row r="77" spans="2:55" x14ac:dyDescent="0.25">
      <c r="B77" t="s">
        <v>115</v>
      </c>
      <c r="Y77" s="12">
        <f>+Y34-Y76</f>
        <v>-13017</v>
      </c>
      <c r="Z77" s="12">
        <f t="shared" ref="Z77:AQ77" si="77">+Z34-Z76</f>
        <v>-13469</v>
      </c>
      <c r="AA77" s="12">
        <f t="shared" si="77"/>
        <v>-11860</v>
      </c>
      <c r="AB77" s="12">
        <f t="shared" si="77"/>
        <v>-9341</v>
      </c>
      <c r="AC77" s="12">
        <f t="shared" si="77"/>
        <v>-1206</v>
      </c>
      <c r="AD77" s="12">
        <f t="shared" si="77"/>
        <v>-10983</v>
      </c>
      <c r="AE77" s="12">
        <f t="shared" si="77"/>
        <v>-13464</v>
      </c>
      <c r="AF77" s="12">
        <f t="shared" si="77"/>
        <v>-18927</v>
      </c>
      <c r="AG77" s="12">
        <f t="shared" si="77"/>
        <v>-21807</v>
      </c>
      <c r="AH77" s="12">
        <f t="shared" si="77"/>
        <v>-18641</v>
      </c>
      <c r="AI77" s="12">
        <f t="shared" si="77"/>
        <v>-14619</v>
      </c>
      <c r="AJ77" s="12">
        <f t="shared" si="77"/>
        <v>-19443</v>
      </c>
      <c r="AK77" s="12">
        <f t="shared" si="77"/>
        <v>-15626</v>
      </c>
      <c r="AL77" s="12">
        <f t="shared" si="77"/>
        <v>6855</v>
      </c>
      <c r="AM77" s="12">
        <f t="shared" si="77"/>
        <v>2970</v>
      </c>
      <c r="AN77" s="12">
        <f t="shared" si="77"/>
        <v>-2412</v>
      </c>
      <c r="AO77" s="12">
        <f t="shared" si="77"/>
        <v>9042</v>
      </c>
      <c r="AP77" s="12">
        <f t="shared" si="77"/>
        <v>13162</v>
      </c>
      <c r="AQ77" s="44">
        <f t="shared" si="77"/>
        <v>14811</v>
      </c>
    </row>
    <row r="78" spans="2:55" x14ac:dyDescent="0.25">
      <c r="B78" t="s">
        <v>16</v>
      </c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44"/>
    </row>
    <row r="80" spans="2:55" x14ac:dyDescent="0.25">
      <c r="B80" t="s">
        <v>108</v>
      </c>
      <c r="S80" s="12">
        <v>125200</v>
      </c>
      <c r="T80" s="44">
        <v>125300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5E28-6820-4078-A403-DA2FCD238714}">
  <dimension ref="B3:K36"/>
  <sheetViews>
    <sheetView workbookViewId="0">
      <selection activeCell="B3" sqref="B3:B18"/>
    </sheetView>
  </sheetViews>
  <sheetFormatPr defaultRowHeight="15" x14ac:dyDescent="0.25"/>
  <cols>
    <col min="2" max="2" width="29.42578125" customWidth="1"/>
    <col min="3" max="3" width="11.7109375" customWidth="1"/>
  </cols>
  <sheetData>
    <row r="3" spans="2:3" x14ac:dyDescent="0.25">
      <c r="B3" t="s">
        <v>125</v>
      </c>
      <c r="C3" s="21">
        <f>Overview!J5</f>
        <v>92081.859999999986</v>
      </c>
    </row>
    <row r="4" spans="2:3" x14ac:dyDescent="0.25">
      <c r="B4" t="s">
        <v>15</v>
      </c>
      <c r="C4" s="21">
        <f>SUM(Model!AQ59,Model!AQ60)</f>
        <v>21289</v>
      </c>
    </row>
    <row r="6" spans="2:3" x14ac:dyDescent="0.25">
      <c r="B6" t="s">
        <v>123</v>
      </c>
      <c r="C6" s="31">
        <f>Model!AQ31/WACC!C4</f>
        <v>2.9545774813283854E-2</v>
      </c>
    </row>
    <row r="7" spans="2:3" x14ac:dyDescent="0.25">
      <c r="B7" t="s">
        <v>122</v>
      </c>
      <c r="C7" s="16">
        <f>AVERAGE(Model!AM43:AQ43)</f>
        <v>0.1035933547558906</v>
      </c>
    </row>
    <row r="8" spans="2:3" x14ac:dyDescent="0.25">
      <c r="B8" t="s">
        <v>126</v>
      </c>
      <c r="C8" s="31">
        <f>C4/(C4+C3)</f>
        <v>0.1877819397330143</v>
      </c>
    </row>
    <row r="9" spans="2:3" x14ac:dyDescent="0.25">
      <c r="B9" s="30" t="s">
        <v>127</v>
      </c>
      <c r="C9" s="32">
        <f>C6*(1-C7)</f>
        <v>2.6485028881513682E-2</v>
      </c>
    </row>
    <row r="11" spans="2:3" x14ac:dyDescent="0.25">
      <c r="B11" t="s">
        <v>133</v>
      </c>
      <c r="C11" s="16">
        <v>4.3400000000000001E-2</v>
      </c>
    </row>
    <row r="12" spans="2:3" x14ac:dyDescent="0.25">
      <c r="B12" t="s">
        <v>128</v>
      </c>
      <c r="C12" s="16">
        <v>0.08</v>
      </c>
    </row>
    <row r="13" spans="2:3" x14ac:dyDescent="0.25">
      <c r="B13" t="s">
        <v>129</v>
      </c>
      <c r="C13" s="16">
        <f>+C12-C11</f>
        <v>3.6600000000000001E-2</v>
      </c>
    </row>
    <row r="14" spans="2:3" x14ac:dyDescent="0.25">
      <c r="B14" t="s">
        <v>130</v>
      </c>
      <c r="C14">
        <v>0.93</v>
      </c>
    </row>
    <row r="15" spans="2:3" x14ac:dyDescent="0.25">
      <c r="B15" t="s">
        <v>131</v>
      </c>
      <c r="C15" s="31">
        <f>C3/SUM(C3:C4)</f>
        <v>0.81221806026698573</v>
      </c>
    </row>
    <row r="16" spans="2:3" x14ac:dyDescent="0.25">
      <c r="B16" s="30" t="s">
        <v>121</v>
      </c>
      <c r="C16" s="32">
        <f>C11+C14*(C13)</f>
        <v>7.7438000000000007E-2</v>
      </c>
    </row>
    <row r="17" spans="2:11" x14ac:dyDescent="0.25">
      <c r="B17" s="2"/>
    </row>
    <row r="18" spans="2:11" x14ac:dyDescent="0.25">
      <c r="B18" s="41" t="s">
        <v>132</v>
      </c>
      <c r="C18" s="42">
        <f>C9*C8+C16*C15</f>
        <v>6.7869952248210394E-2</v>
      </c>
    </row>
    <row r="20" spans="2:11" x14ac:dyDescent="0.25">
      <c r="C20" s="2"/>
    </row>
    <row r="22" spans="2:11" x14ac:dyDescent="0.25">
      <c r="G22" s="16"/>
      <c r="H22" s="16"/>
      <c r="I22" s="16"/>
      <c r="J22" s="16"/>
      <c r="K22" s="16"/>
    </row>
    <row r="27" spans="2:11" x14ac:dyDescent="0.25">
      <c r="D27" s="2"/>
    </row>
    <row r="29" spans="2:11" x14ac:dyDescent="0.25">
      <c r="C29" s="2"/>
    </row>
    <row r="34" spans="4:4" x14ac:dyDescent="0.25">
      <c r="D34" s="2"/>
    </row>
    <row r="36" spans="4:4" x14ac:dyDescent="0.25">
      <c r="D36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99631-B596-4BC1-B2CD-01EEB175BB88}">
  <dimension ref="B3:V23"/>
  <sheetViews>
    <sheetView tabSelected="1" workbookViewId="0">
      <selection activeCell="E5" sqref="E5"/>
    </sheetView>
  </sheetViews>
  <sheetFormatPr defaultRowHeight="15" x14ac:dyDescent="0.25"/>
  <cols>
    <col min="5" max="5" width="8" bestFit="1" customWidth="1"/>
  </cols>
  <sheetData>
    <row r="3" spans="2:22" x14ac:dyDescent="0.25">
      <c r="B3" t="s">
        <v>136</v>
      </c>
    </row>
    <row r="4" spans="2:22" x14ac:dyDescent="0.25">
      <c r="B4" t="s">
        <v>135</v>
      </c>
      <c r="F4">
        <v>2013</v>
      </c>
      <c r="G4">
        <v>2014</v>
      </c>
      <c r="H4">
        <v>2015</v>
      </c>
      <c r="I4">
        <v>2016</v>
      </c>
      <c r="J4">
        <v>2017</v>
      </c>
      <c r="K4">
        <v>2018</v>
      </c>
      <c r="L4">
        <v>2019</v>
      </c>
      <c r="M4">
        <v>2020</v>
      </c>
      <c r="N4">
        <v>2021</v>
      </c>
      <c r="O4">
        <v>2022</v>
      </c>
      <c r="P4">
        <v>2023</v>
      </c>
      <c r="Q4" s="35" t="s">
        <v>151</v>
      </c>
      <c r="R4" s="35" t="s">
        <v>152</v>
      </c>
      <c r="S4" s="35" t="s">
        <v>153</v>
      </c>
      <c r="T4" s="35" t="s">
        <v>154</v>
      </c>
      <c r="U4" s="35" t="s">
        <v>155</v>
      </c>
      <c r="V4" s="35" t="s">
        <v>156</v>
      </c>
    </row>
    <row r="5" spans="2:22" x14ac:dyDescent="0.25">
      <c r="B5" t="s">
        <v>134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>
        <f>Model!AR76</f>
        <v>0</v>
      </c>
      <c r="R5" s="12">
        <f>Model!AS76</f>
        <v>0</v>
      </c>
      <c r="S5" s="12">
        <f>Model!AT76</f>
        <v>0</v>
      </c>
      <c r="T5" s="12">
        <f>Model!AU76</f>
        <v>0</v>
      </c>
      <c r="U5" s="12">
        <f>Model!AV76</f>
        <v>0</v>
      </c>
      <c r="V5" s="12">
        <f>Model!AW76</f>
        <v>0</v>
      </c>
    </row>
    <row r="7" spans="2:22" x14ac:dyDescent="0.25">
      <c r="B7" t="s">
        <v>137</v>
      </c>
      <c r="Q7">
        <v>1</v>
      </c>
      <c r="R7">
        <v>2</v>
      </c>
      <c r="S7">
        <v>3</v>
      </c>
      <c r="T7">
        <v>4</v>
      </c>
      <c r="U7">
        <v>5</v>
      </c>
      <c r="V7">
        <v>6</v>
      </c>
    </row>
    <row r="8" spans="2:22" x14ac:dyDescent="0.25">
      <c r="B8" s="30" t="s">
        <v>138</v>
      </c>
      <c r="C8" s="29"/>
      <c r="D8" s="29"/>
      <c r="E8" s="29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6"/>
      <c r="R8" s="56"/>
      <c r="S8" s="56"/>
      <c r="T8" s="56"/>
      <c r="U8" s="56"/>
      <c r="V8" s="56"/>
    </row>
    <row r="10" spans="2:22" x14ac:dyDescent="0.25">
      <c r="B10" s="39" t="s">
        <v>139</v>
      </c>
      <c r="C10" s="39"/>
      <c r="D10" s="39"/>
      <c r="E10" s="39"/>
      <c r="I10" s="39" t="s">
        <v>157</v>
      </c>
      <c r="J10" s="39"/>
      <c r="K10" s="39"/>
      <c r="L10" s="39"/>
      <c r="M10" s="39"/>
      <c r="N10" s="39"/>
      <c r="O10" s="39"/>
    </row>
    <row r="11" spans="2:22" x14ac:dyDescent="0.25">
      <c r="B11" t="s">
        <v>140</v>
      </c>
      <c r="E11" s="4">
        <f>Overview!J8/Model!AQ30</f>
        <v>3548.8341935483868</v>
      </c>
    </row>
    <row r="12" spans="2:22" x14ac:dyDescent="0.25">
      <c r="B12" t="s">
        <v>141</v>
      </c>
      <c r="K12" s="39" t="s">
        <v>158</v>
      </c>
      <c r="L12" s="39"/>
      <c r="M12" s="39"/>
      <c r="N12" s="39"/>
      <c r="O12" s="39"/>
    </row>
    <row r="13" spans="2:22" x14ac:dyDescent="0.25">
      <c r="B13" t="s">
        <v>142</v>
      </c>
      <c r="E13" s="16">
        <v>0.10059999999999999</v>
      </c>
      <c r="K13" s="36">
        <f>+L13-0.005</f>
        <v>9.0599999999999986E-2</v>
      </c>
      <c r="L13" s="36">
        <f>+M13-0.005</f>
        <v>9.5599999999999991E-2</v>
      </c>
      <c r="M13" s="36">
        <f>E13</f>
        <v>0.10059999999999999</v>
      </c>
      <c r="N13" s="36">
        <f>+M13+0.005</f>
        <v>0.1056</v>
      </c>
      <c r="O13" s="36">
        <f>+N13+0.005</f>
        <v>0.1106</v>
      </c>
    </row>
    <row r="14" spans="2:22" x14ac:dyDescent="0.25">
      <c r="B14" t="s">
        <v>132</v>
      </c>
      <c r="E14" s="16">
        <f>WACC!C18</f>
        <v>6.7869952248210394E-2</v>
      </c>
      <c r="I14" s="40" t="s">
        <v>132</v>
      </c>
      <c r="J14" s="36">
        <f>+J15-0.005</f>
        <v>6.0400000000000002E-2</v>
      </c>
    </row>
    <row r="15" spans="2:22" x14ac:dyDescent="0.25">
      <c r="B15" t="s">
        <v>143</v>
      </c>
      <c r="E15" s="4">
        <f>(P5*1.05)/(Model!BF42-1.05)</f>
        <v>0</v>
      </c>
      <c r="I15" s="40"/>
      <c r="J15" s="36">
        <f>+J16-0.005</f>
        <v>6.54E-2</v>
      </c>
      <c r="L15" s="37"/>
      <c r="M15" s="37"/>
      <c r="N15" s="37"/>
    </row>
    <row r="16" spans="2:22" x14ac:dyDescent="0.25">
      <c r="B16" t="s">
        <v>144</v>
      </c>
      <c r="E16" s="12">
        <f>+E15/((1.08)^$E$14)</f>
        <v>0</v>
      </c>
      <c r="I16" s="40"/>
      <c r="J16" s="36">
        <v>7.0400000000000004E-2</v>
      </c>
      <c r="L16" s="37"/>
      <c r="M16" s="38"/>
      <c r="N16" s="37"/>
    </row>
    <row r="17" spans="2:14" x14ac:dyDescent="0.25">
      <c r="B17" t="s">
        <v>145</v>
      </c>
      <c r="E17" s="12">
        <f>Overview!J8</f>
        <v>110013.85999999999</v>
      </c>
      <c r="I17" s="40"/>
      <c r="J17" s="36">
        <f>+J16+0.005</f>
        <v>7.5400000000000009E-2</v>
      </c>
      <c r="L17" s="37"/>
      <c r="M17" s="37"/>
      <c r="N17" s="37"/>
    </row>
    <row r="18" spans="2:14" x14ac:dyDescent="0.25">
      <c r="B18" t="s">
        <v>146</v>
      </c>
      <c r="E18" s="58">
        <f>Model!AQ45</f>
        <v>-16115</v>
      </c>
      <c r="I18" s="40"/>
      <c r="J18" s="36">
        <f>+J17+0.005</f>
        <v>8.0400000000000013E-2</v>
      </c>
    </row>
    <row r="19" spans="2:14" x14ac:dyDescent="0.25">
      <c r="B19" t="s">
        <v>147</v>
      </c>
      <c r="E19" s="4">
        <f>Model!AQ55</f>
        <v>46978</v>
      </c>
    </row>
    <row r="20" spans="2:14" x14ac:dyDescent="0.25">
      <c r="B20" t="s">
        <v>148</v>
      </c>
    </row>
    <row r="21" spans="2:14" x14ac:dyDescent="0.25">
      <c r="B21" s="30" t="s">
        <v>149</v>
      </c>
      <c r="C21" s="29"/>
      <c r="D21" s="29"/>
      <c r="E21" s="30"/>
    </row>
    <row r="22" spans="2:14" x14ac:dyDescent="0.25">
      <c r="B22" s="2" t="s">
        <v>150</v>
      </c>
      <c r="E22" s="14">
        <f>Overview!J4</f>
        <v>4267</v>
      </c>
    </row>
    <row r="23" spans="2:14" x14ac:dyDescent="0.25">
      <c r="B23" s="33" t="s">
        <v>139</v>
      </c>
      <c r="C23" s="34"/>
      <c r="D23" s="34"/>
      <c r="E23" s="33"/>
    </row>
  </sheetData>
  <mergeCells count="4">
    <mergeCell ref="B10:E10"/>
    <mergeCell ref="I10:O10"/>
    <mergeCell ref="K12:O12"/>
    <mergeCell ref="I14:I1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Model</vt:lpstr>
      <vt:lpstr>WACC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Dantas Jr</dc:creator>
  <cp:lastModifiedBy>Daniel Dantas Jr</cp:lastModifiedBy>
  <dcterms:created xsi:type="dcterms:W3CDTF">2024-08-26T11:49:14Z</dcterms:created>
  <dcterms:modified xsi:type="dcterms:W3CDTF">2024-12-17T20:22:21Z</dcterms:modified>
</cp:coreProperties>
</file>