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d300fcf58872a0/Investment Research/"/>
    </mc:Choice>
  </mc:AlternateContent>
  <xr:revisionPtr revIDLastSave="1852" documentId="8_{2C700B71-EFF1-474B-A327-C77CB35E6FC0}" xr6:coauthVersionLast="47" xr6:coauthVersionMax="47" xr10:uidLastSave="{FDFB744F-FC32-4BE9-9B91-C36FE8C43486}"/>
  <bookViews>
    <workbookView xWindow="1260" yWindow="16650" windowWidth="41295" windowHeight="14895" activeTab="4" xr2:uid="{CBD8DCEF-A9F5-4C5A-9CD5-CA02DEFA7687}"/>
  </bookViews>
  <sheets>
    <sheet name="Info" sheetId="2" r:id="rId1"/>
    <sheet name="Assumptions" sheetId="3" r:id="rId2"/>
    <sheet name="WACC" sheetId="5" r:id="rId3"/>
    <sheet name="DCF" sheetId="4" r:id="rId4"/>
    <sheet name="Model" sheetId="1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0" i="1" l="1"/>
  <c r="AT41" i="1"/>
  <c r="AV27" i="1"/>
  <c r="AH41" i="1"/>
  <c r="E22" i="4"/>
  <c r="E19" i="4"/>
  <c r="E18" i="4"/>
  <c r="J17" i="4"/>
  <c r="J18" i="4" s="1"/>
  <c r="E17" i="4"/>
  <c r="J15" i="4"/>
  <c r="J14" i="4" s="1"/>
  <c r="E15" i="4"/>
  <c r="E16" i="4" s="1"/>
  <c r="E14" i="4"/>
  <c r="M13" i="4"/>
  <c r="E11" i="4"/>
  <c r="V5" i="4"/>
  <c r="U5" i="4"/>
  <c r="T5" i="4"/>
  <c r="S5" i="4"/>
  <c r="R5" i="4"/>
  <c r="Q5" i="4"/>
  <c r="E13" i="2"/>
  <c r="F13" i="2"/>
  <c r="G13" i="2"/>
  <c r="D13" i="2"/>
  <c r="D14" i="2" s="1"/>
  <c r="AU37" i="1"/>
  <c r="E9" i="2"/>
  <c r="F9" i="2"/>
  <c r="G9" i="2"/>
  <c r="H9" i="2"/>
  <c r="I9" i="2"/>
  <c r="J9" i="2"/>
  <c r="K9" i="2"/>
  <c r="D9" i="2"/>
  <c r="D10" i="2" s="1"/>
  <c r="E6" i="2"/>
  <c r="E7" i="2" s="1"/>
  <c r="F6" i="2"/>
  <c r="F7" i="2" s="1"/>
  <c r="G6" i="2"/>
  <c r="G7" i="2" s="1"/>
  <c r="H6" i="2"/>
  <c r="H7" i="2" s="1"/>
  <c r="I6" i="2"/>
  <c r="I7" i="2" s="1"/>
  <c r="J6" i="2"/>
  <c r="J7" i="2" s="1"/>
  <c r="K6" i="2"/>
  <c r="K7" i="2" s="1"/>
  <c r="D6" i="2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AH87" i="1"/>
  <c r="AU31" i="1"/>
  <c r="AW27" i="1"/>
  <c r="AX27" i="1"/>
  <c r="AY27" i="1"/>
  <c r="AZ27" i="1"/>
  <c r="BA27" i="1"/>
  <c r="BB27" i="1"/>
  <c r="BC27" i="1"/>
  <c r="BD27" i="1"/>
  <c r="BE27" i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AV25" i="1" a="1"/>
  <c r="AV25" i="1" s="1"/>
  <c r="AA25" i="1" a="1"/>
  <c r="AA25" i="1" s="1"/>
  <c r="AU25" i="1" s="1"/>
  <c r="AU26" i="1" s="1"/>
  <c r="AU40" i="1" s="1"/>
  <c r="AW23" i="1"/>
  <c r="AX23" i="1"/>
  <c r="AV23" i="1"/>
  <c r="AV38" i="1"/>
  <c r="AT38" i="1"/>
  <c r="AX21" i="1"/>
  <c r="AW21" i="1"/>
  <c r="AW36" i="1" s="1"/>
  <c r="AV21" i="1"/>
  <c r="AV36" i="1" s="1"/>
  <c r="AT37" i="1"/>
  <c r="AX10" i="1"/>
  <c r="AY10" i="1" s="1"/>
  <c r="AX11" i="1"/>
  <c r="AY11" i="1" s="1"/>
  <c r="AZ11" i="1" s="1"/>
  <c r="BA11" i="1" s="1"/>
  <c r="BB11" i="1" s="1"/>
  <c r="BC11" i="1" s="1"/>
  <c r="BD11" i="1" s="1"/>
  <c r="BE11" i="1" s="1"/>
  <c r="AX12" i="1"/>
  <c r="AY12" i="1" s="1"/>
  <c r="AZ12" i="1" s="1"/>
  <c r="BA12" i="1" s="1"/>
  <c r="BB12" i="1" s="1"/>
  <c r="BC12" i="1" s="1"/>
  <c r="BD12" i="1" s="1"/>
  <c r="BE12" i="1" s="1"/>
  <c r="AX13" i="1"/>
  <c r="AY13" i="1" s="1"/>
  <c r="AZ13" i="1" s="1"/>
  <c r="BA13" i="1" s="1"/>
  <c r="BB13" i="1" s="1"/>
  <c r="BC13" i="1" s="1"/>
  <c r="BD13" i="1" s="1"/>
  <c r="BE13" i="1" s="1"/>
  <c r="AW11" i="1"/>
  <c r="AW12" i="1"/>
  <c r="AW13" i="1"/>
  <c r="AW10" i="1"/>
  <c r="AV11" i="1"/>
  <c r="AV20" i="1" s="1"/>
  <c r="AV12" i="1"/>
  <c r="AV13" i="1"/>
  <c r="AV10" i="1"/>
  <c r="AU11" i="1"/>
  <c r="AU12" i="1"/>
  <c r="AU13" i="1"/>
  <c r="AU10" i="1"/>
  <c r="AX20" i="1"/>
  <c r="AX16" i="1"/>
  <c r="AY16" i="1" s="1"/>
  <c r="AX17" i="1"/>
  <c r="AY17" i="1" s="1"/>
  <c r="AZ17" i="1" s="1"/>
  <c r="BA17" i="1" s="1"/>
  <c r="BB17" i="1" s="1"/>
  <c r="BC17" i="1" s="1"/>
  <c r="BD17" i="1" s="1"/>
  <c r="BE17" i="1" s="1"/>
  <c r="AX18" i="1"/>
  <c r="AY18" i="1" s="1"/>
  <c r="AZ18" i="1" s="1"/>
  <c r="BA18" i="1" s="1"/>
  <c r="BB18" i="1" s="1"/>
  <c r="BC18" i="1" s="1"/>
  <c r="BD18" i="1" s="1"/>
  <c r="BE18" i="1" s="1"/>
  <c r="AW18" i="1"/>
  <c r="AW17" i="1"/>
  <c r="AW16" i="1"/>
  <c r="AV17" i="1"/>
  <c r="AV18" i="1"/>
  <c r="AV16" i="1"/>
  <c r="AU17" i="1"/>
  <c r="AU18" i="1"/>
  <c r="AU16" i="1"/>
  <c r="AU34" i="1"/>
  <c r="AU35" i="1"/>
  <c r="AU36" i="1"/>
  <c r="AU38" i="1"/>
  <c r="AX38" i="1"/>
  <c r="AT39" i="1"/>
  <c r="AX15" i="1"/>
  <c r="AX39" i="1" s="1"/>
  <c r="AU27" i="1"/>
  <c r="AU23" i="1"/>
  <c r="AU24" i="1"/>
  <c r="AU22" i="1"/>
  <c r="AU21" i="1"/>
  <c r="AU20" i="1"/>
  <c r="AD13" i="1"/>
  <c r="AD12" i="1"/>
  <c r="AD11" i="1"/>
  <c r="AD10" i="1"/>
  <c r="AB10" i="1"/>
  <c r="AC10" i="1"/>
  <c r="AB11" i="1"/>
  <c r="AC11" i="1"/>
  <c r="AB12" i="1"/>
  <c r="AC12" i="1"/>
  <c r="AB13" i="1"/>
  <c r="AC13" i="1"/>
  <c r="AA11" i="1"/>
  <c r="AA12" i="1"/>
  <c r="AA13" i="1"/>
  <c r="AA10" i="1"/>
  <c r="AB27" i="1"/>
  <c r="AC27" i="1"/>
  <c r="AD27" i="1"/>
  <c r="AA27" i="1"/>
  <c r="AB25" i="1" a="1"/>
  <c r="AB25" i="1" s="1"/>
  <c r="AC25" i="1" a="1"/>
  <c r="AC25" i="1" s="1"/>
  <c r="AD25" i="1" a="1"/>
  <c r="AD25" i="1" s="1"/>
  <c r="AA37" i="1"/>
  <c r="AB23" i="1"/>
  <c r="AC23" i="1"/>
  <c r="AD23" i="1"/>
  <c r="AD38" i="1" s="1"/>
  <c r="AA23" i="1"/>
  <c r="AB21" i="1"/>
  <c r="AC21" i="1"/>
  <c r="AC36" i="1" s="1"/>
  <c r="AD21" i="1"/>
  <c r="AA21" i="1"/>
  <c r="AA22" i="1" s="1"/>
  <c r="AB20" i="1"/>
  <c r="AB22" i="1" s="1"/>
  <c r="AC20" i="1"/>
  <c r="AD20" i="1"/>
  <c r="AA2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C41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C40" i="1"/>
  <c r="AH40" i="1"/>
  <c r="AH39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C38" i="1"/>
  <c r="AH38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C37" i="1"/>
  <c r="AH37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G36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D35" i="1"/>
  <c r="G35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G34" i="1"/>
  <c r="F20" i="1"/>
  <c r="F22" i="1" s="1"/>
  <c r="F29" i="1"/>
  <c r="F27" i="1"/>
  <c r="F25" i="1"/>
  <c r="F23" i="1"/>
  <c r="F13" i="1"/>
  <c r="F12" i="1"/>
  <c r="F11" i="1"/>
  <c r="F10" i="1"/>
  <c r="F21" i="1"/>
  <c r="J21" i="1"/>
  <c r="J29" i="1"/>
  <c r="J27" i="1"/>
  <c r="J25" i="1"/>
  <c r="J23" i="1"/>
  <c r="J13" i="1"/>
  <c r="J12" i="1"/>
  <c r="J11" i="1"/>
  <c r="J10" i="1"/>
  <c r="N29" i="1"/>
  <c r="N27" i="1"/>
  <c r="N25" i="1"/>
  <c r="N23" i="1"/>
  <c r="N20" i="1"/>
  <c r="N22" i="1" s="1"/>
  <c r="N10" i="1"/>
  <c r="N13" i="1"/>
  <c r="N12" i="1"/>
  <c r="N11" i="1"/>
  <c r="N21" i="1"/>
  <c r="R20" i="1"/>
  <c r="R22" i="1" s="1"/>
  <c r="R29" i="1"/>
  <c r="R27" i="1"/>
  <c r="R25" i="1"/>
  <c r="R23" i="1"/>
  <c r="R21" i="1"/>
  <c r="R11" i="1"/>
  <c r="R12" i="1"/>
  <c r="R13" i="1"/>
  <c r="R10" i="1"/>
  <c r="V29" i="1"/>
  <c r="V27" i="1"/>
  <c r="V25" i="1"/>
  <c r="V23" i="1"/>
  <c r="V21" i="1"/>
  <c r="V20" i="1"/>
  <c r="V10" i="1"/>
  <c r="V11" i="1"/>
  <c r="V12" i="1"/>
  <c r="V13" i="1"/>
  <c r="Z20" i="1"/>
  <c r="Z21" i="1"/>
  <c r="Z29" i="1"/>
  <c r="Z27" i="1"/>
  <c r="Z25" i="1"/>
  <c r="Z23" i="1"/>
  <c r="Z11" i="1"/>
  <c r="Z12" i="1"/>
  <c r="Z13" i="1"/>
  <c r="Z10" i="1"/>
  <c r="C27" i="1"/>
  <c r="C25" i="1"/>
  <c r="C11" i="1"/>
  <c r="D30" i="1"/>
  <c r="D27" i="1"/>
  <c r="D25" i="1"/>
  <c r="D11" i="1"/>
  <c r="E30" i="1"/>
  <c r="E27" i="1"/>
  <c r="E25" i="1"/>
  <c r="E11" i="1"/>
  <c r="G27" i="1"/>
  <c r="G25" i="1"/>
  <c r="G11" i="1"/>
  <c r="H25" i="1"/>
  <c r="H27" i="1"/>
  <c r="H11" i="1"/>
  <c r="I27" i="1"/>
  <c r="I25" i="1"/>
  <c r="I11" i="1"/>
  <c r="K27" i="1"/>
  <c r="C20" i="1"/>
  <c r="C22" i="1" s="1"/>
  <c r="C24" i="1" s="1"/>
  <c r="C26" i="1" s="1"/>
  <c r="C28" i="1" s="1"/>
  <c r="C30" i="1" s="1"/>
  <c r="C31" i="1" s="1"/>
  <c r="D20" i="1"/>
  <c r="D22" i="1" s="1"/>
  <c r="D24" i="1" s="1"/>
  <c r="D26" i="1" s="1"/>
  <c r="D28" i="1" s="1"/>
  <c r="D31" i="1" s="1"/>
  <c r="E20" i="1"/>
  <c r="E22" i="1" s="1"/>
  <c r="E24" i="1" s="1"/>
  <c r="E26" i="1" s="1"/>
  <c r="E28" i="1" s="1"/>
  <c r="G20" i="1"/>
  <c r="G22" i="1" s="1"/>
  <c r="G24" i="1" s="1"/>
  <c r="G26" i="1" s="1"/>
  <c r="G28" i="1" s="1"/>
  <c r="G30" i="1" s="1"/>
  <c r="G31" i="1" s="1"/>
  <c r="H20" i="1"/>
  <c r="H22" i="1" s="1"/>
  <c r="H24" i="1" s="1"/>
  <c r="H26" i="1" s="1"/>
  <c r="H28" i="1" s="1"/>
  <c r="H30" i="1" s="1"/>
  <c r="H31" i="1" s="1"/>
  <c r="I20" i="1"/>
  <c r="I22" i="1" s="1"/>
  <c r="I24" i="1" s="1"/>
  <c r="I26" i="1" s="1"/>
  <c r="I28" i="1" s="1"/>
  <c r="I30" i="1" s="1"/>
  <c r="I31" i="1" s="1"/>
  <c r="K20" i="1"/>
  <c r="Y20" i="1"/>
  <c r="Y22" i="1" s="1"/>
  <c r="Y24" i="1" s="1"/>
  <c r="Y26" i="1" s="1"/>
  <c r="Y28" i="1" s="1"/>
  <c r="Y30" i="1" s="1"/>
  <c r="Y31" i="1" s="1"/>
  <c r="X20" i="1"/>
  <c r="X22" i="1" s="1"/>
  <c r="X24" i="1" s="1"/>
  <c r="X26" i="1" s="1"/>
  <c r="X28" i="1" s="1"/>
  <c r="X30" i="1" s="1"/>
  <c r="X31" i="1" s="1"/>
  <c r="W20" i="1"/>
  <c r="W22" i="1" s="1"/>
  <c r="W24" i="1" s="1"/>
  <c r="W26" i="1" s="1"/>
  <c r="W28" i="1" s="1"/>
  <c r="W30" i="1" s="1"/>
  <c r="W31" i="1" s="1"/>
  <c r="U20" i="1"/>
  <c r="T20" i="1"/>
  <c r="T22" i="1" s="1"/>
  <c r="T24" i="1" s="1"/>
  <c r="T26" i="1" s="1"/>
  <c r="T28" i="1" s="1"/>
  <c r="T30" i="1" s="1"/>
  <c r="T31" i="1" s="1"/>
  <c r="S20" i="1"/>
  <c r="S22" i="1" s="1"/>
  <c r="S24" i="1" s="1"/>
  <c r="S26" i="1" s="1"/>
  <c r="S28" i="1" s="1"/>
  <c r="S30" i="1" s="1"/>
  <c r="S31" i="1" s="1"/>
  <c r="Q20" i="1"/>
  <c r="Q22" i="1" s="1"/>
  <c r="Q24" i="1" s="1"/>
  <c r="Q26" i="1" s="1"/>
  <c r="Q28" i="1" s="1"/>
  <c r="Q30" i="1" s="1"/>
  <c r="Q31" i="1" s="1"/>
  <c r="P20" i="1"/>
  <c r="P22" i="1" s="1"/>
  <c r="P24" i="1" s="1"/>
  <c r="P26" i="1" s="1"/>
  <c r="P28" i="1" s="1"/>
  <c r="P30" i="1" s="1"/>
  <c r="P31" i="1" s="1"/>
  <c r="O20" i="1"/>
  <c r="O22" i="1" s="1"/>
  <c r="O24" i="1" s="1"/>
  <c r="O26" i="1" s="1"/>
  <c r="O28" i="1" s="1"/>
  <c r="O30" i="1" s="1"/>
  <c r="O31" i="1" s="1"/>
  <c r="M20" i="1"/>
  <c r="M22" i="1" s="1"/>
  <c r="M24" i="1" s="1"/>
  <c r="M26" i="1" s="1"/>
  <c r="M28" i="1" s="1"/>
  <c r="M30" i="1" s="1"/>
  <c r="M31" i="1" s="1"/>
  <c r="L20" i="1"/>
  <c r="L27" i="1"/>
  <c r="M27" i="1"/>
  <c r="O27" i="1"/>
  <c r="Y27" i="1"/>
  <c r="X27" i="1"/>
  <c r="P27" i="1"/>
  <c r="T27" i="1"/>
  <c r="Q27" i="1"/>
  <c r="U27" i="1"/>
  <c r="S27" i="1"/>
  <c r="K22" i="1"/>
  <c r="K24" i="1" s="1"/>
  <c r="K26" i="1" s="1"/>
  <c r="K28" i="1" s="1"/>
  <c r="K30" i="1" s="1"/>
  <c r="K31" i="1" s="1"/>
  <c r="L22" i="1"/>
  <c r="L24" i="1" s="1"/>
  <c r="L26" i="1" s="1"/>
  <c r="L28" i="1" s="1"/>
  <c r="L30" i="1" s="1"/>
  <c r="L31" i="1" s="1"/>
  <c r="U22" i="1"/>
  <c r="U24" i="1" s="1"/>
  <c r="U26" i="1" s="1"/>
  <c r="U28" i="1" s="1"/>
  <c r="U30" i="1" s="1"/>
  <c r="U31" i="1" s="1"/>
  <c r="Z22" i="1"/>
  <c r="Z24" i="1" s="1"/>
  <c r="AH31" i="1"/>
  <c r="W27" i="1"/>
  <c r="AH8" i="1"/>
  <c r="AH57" i="1"/>
  <c r="AH59" i="1"/>
  <c r="AH46" i="1"/>
  <c r="AG22" i="1"/>
  <c r="AH34" i="1" s="1"/>
  <c r="AI8" i="1"/>
  <c r="AH82" i="1"/>
  <c r="AH79" i="1"/>
  <c r="AH78" i="1"/>
  <c r="AH83" i="1" s="1"/>
  <c r="AH73" i="1"/>
  <c r="AH70" i="1"/>
  <c r="AH69" i="1"/>
  <c r="AH35" i="1"/>
  <c r="AH36" i="1"/>
  <c r="AH27" i="1"/>
  <c r="AH25" i="1"/>
  <c r="AH13" i="1"/>
  <c r="AH12" i="1"/>
  <c r="AH11" i="1"/>
  <c r="AH10" i="1"/>
  <c r="AI57" i="1"/>
  <c r="AI62" i="1" s="1"/>
  <c r="AI46" i="1"/>
  <c r="AJ8" i="1"/>
  <c r="AJ5" i="1" s="1"/>
  <c r="AH17" i="1"/>
  <c r="AI79" i="1"/>
  <c r="AI78" i="1"/>
  <c r="AI73" i="1"/>
  <c r="AI70" i="1"/>
  <c r="AI69" i="1"/>
  <c r="AJ59" i="1"/>
  <c r="AJ57" i="1"/>
  <c r="AJ46" i="1"/>
  <c r="AI27" i="1"/>
  <c r="AI25" i="1"/>
  <c r="AI13" i="1"/>
  <c r="AI12" i="1"/>
  <c r="AI11" i="1"/>
  <c r="AI10" i="1"/>
  <c r="AK8" i="1"/>
  <c r="AJ79" i="1"/>
  <c r="AJ78" i="1"/>
  <c r="AJ73" i="1"/>
  <c r="AJ70" i="1"/>
  <c r="AJ69" i="1"/>
  <c r="AJ27" i="1"/>
  <c r="AK27" i="1"/>
  <c r="AJ25" i="1"/>
  <c r="AK59" i="1"/>
  <c r="AK57" i="1"/>
  <c r="AK46" i="1"/>
  <c r="AJ13" i="1"/>
  <c r="AJ12" i="1"/>
  <c r="AJ11" i="1"/>
  <c r="AJ10" i="1"/>
  <c r="AL8" i="1"/>
  <c r="AK79" i="1"/>
  <c r="AK78" i="1"/>
  <c r="AK73" i="1"/>
  <c r="AK70" i="1"/>
  <c r="AK69" i="1"/>
  <c r="AL59" i="1"/>
  <c r="AL57" i="1"/>
  <c r="AL46" i="1"/>
  <c r="AK10" i="1"/>
  <c r="AK13" i="1"/>
  <c r="AK12" i="1"/>
  <c r="AK11" i="1"/>
  <c r="AK25" i="1"/>
  <c r="AM8" i="1"/>
  <c r="AL78" i="1"/>
  <c r="AL73" i="1"/>
  <c r="AL69" i="1"/>
  <c r="AM69" i="1"/>
  <c r="AN69" i="1"/>
  <c r="AL70" i="1"/>
  <c r="AM59" i="1"/>
  <c r="AM57" i="1"/>
  <c r="AM46" i="1"/>
  <c r="AL13" i="1"/>
  <c r="AL12" i="1"/>
  <c r="AL11" i="1"/>
  <c r="AL10" i="1"/>
  <c r="AL27" i="1"/>
  <c r="AL25" i="1"/>
  <c r="AN8" i="1"/>
  <c r="AM78" i="1"/>
  <c r="AM73" i="1"/>
  <c r="AM70" i="1"/>
  <c r="AN57" i="1"/>
  <c r="AN59" i="1"/>
  <c r="AN46" i="1"/>
  <c r="AN45" i="1" s="1"/>
  <c r="AM27" i="1"/>
  <c r="AM25" i="1"/>
  <c r="AM11" i="1"/>
  <c r="AO8" i="1"/>
  <c r="AO5" i="1" s="1"/>
  <c r="AN78" i="1"/>
  <c r="AN73" i="1"/>
  <c r="AN70" i="1"/>
  <c r="AO59" i="1"/>
  <c r="AO57" i="1"/>
  <c r="AO46" i="1"/>
  <c r="AO45" i="1" s="1"/>
  <c r="AN27" i="1"/>
  <c r="AN25" i="1"/>
  <c r="AN11" i="1"/>
  <c r="AO78" i="1"/>
  <c r="AO73" i="1"/>
  <c r="AO70" i="1"/>
  <c r="AP59" i="1"/>
  <c r="AP57" i="1"/>
  <c r="AP46" i="1"/>
  <c r="AO27" i="1"/>
  <c r="AO25" i="1"/>
  <c r="AP78" i="1"/>
  <c r="AP75" i="1"/>
  <c r="AP73" i="1"/>
  <c r="AP70" i="1"/>
  <c r="AQ59" i="1"/>
  <c r="AQ57" i="1"/>
  <c r="AP64" i="1"/>
  <c r="AQ64" i="1"/>
  <c r="AR64" i="1"/>
  <c r="AS64" i="1"/>
  <c r="AT64" i="1"/>
  <c r="AQ46" i="1"/>
  <c r="AP27" i="1"/>
  <c r="AQ82" i="1"/>
  <c r="AQ78" i="1"/>
  <c r="AQ73" i="1"/>
  <c r="AQ70" i="1"/>
  <c r="AQ27" i="1"/>
  <c r="AR27" i="1"/>
  <c r="AR59" i="1"/>
  <c r="AR57" i="1"/>
  <c r="AR46" i="1"/>
  <c r="AH45" i="1"/>
  <c r="AI45" i="1"/>
  <c r="AJ45" i="1"/>
  <c r="AK45" i="1"/>
  <c r="AL45" i="1"/>
  <c r="AM45" i="1"/>
  <c r="AP45" i="1"/>
  <c r="AQ45" i="1"/>
  <c r="AR45" i="1"/>
  <c r="AS45" i="1"/>
  <c r="AT45" i="1"/>
  <c r="AR82" i="1"/>
  <c r="AR78" i="1"/>
  <c r="AS85" i="1"/>
  <c r="AT85" i="1"/>
  <c r="AI83" i="1"/>
  <c r="AJ83" i="1"/>
  <c r="AK83" i="1"/>
  <c r="AL83" i="1"/>
  <c r="AM83" i="1"/>
  <c r="AN83" i="1"/>
  <c r="AO83" i="1"/>
  <c r="AP83" i="1"/>
  <c r="AQ83" i="1"/>
  <c r="AR83" i="1"/>
  <c r="AR85" i="1" s="1"/>
  <c r="AS83" i="1"/>
  <c r="AS78" i="1"/>
  <c r="AT78" i="1"/>
  <c r="AT83" i="1"/>
  <c r="AR73" i="1"/>
  <c r="AH71" i="1"/>
  <c r="AI71" i="1"/>
  <c r="AJ71" i="1"/>
  <c r="AK71" i="1"/>
  <c r="AL71" i="1"/>
  <c r="AM71" i="1"/>
  <c r="AN71" i="1"/>
  <c r="AO71" i="1"/>
  <c r="AP71" i="1"/>
  <c r="AQ71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S73" i="1"/>
  <c r="AT76" i="1"/>
  <c r="AT73" i="1"/>
  <c r="AR71" i="1"/>
  <c r="AS71" i="1"/>
  <c r="AR70" i="1"/>
  <c r="AS70" i="1"/>
  <c r="AT70" i="1"/>
  <c r="AT71" i="1"/>
  <c r="AJ62" i="1"/>
  <c r="AK62" i="1"/>
  <c r="AL62" i="1"/>
  <c r="AM62" i="1"/>
  <c r="AN62" i="1"/>
  <c r="AO62" i="1"/>
  <c r="AP62" i="1"/>
  <c r="AQ62" i="1"/>
  <c r="AR62" i="1"/>
  <c r="AH62" i="1"/>
  <c r="AS59" i="1"/>
  <c r="AS57" i="1"/>
  <c r="AS62" i="1" s="1"/>
  <c r="AT57" i="1"/>
  <c r="AT59" i="1"/>
  <c r="AT62" i="1" s="1"/>
  <c r="AH53" i="1"/>
  <c r="AI53" i="1"/>
  <c r="AJ53" i="1"/>
  <c r="AK53" i="1"/>
  <c r="AL53" i="1"/>
  <c r="AM53" i="1"/>
  <c r="AN53" i="1"/>
  <c r="AO53" i="1"/>
  <c r="AP53" i="1"/>
  <c r="AQ53" i="1"/>
  <c r="AR53" i="1"/>
  <c r="AS46" i="1"/>
  <c r="AS53" i="1" s="1"/>
  <c r="AT46" i="1"/>
  <c r="AT53" i="1" s="1"/>
  <c r="AI5" i="1"/>
  <c r="AK5" i="1"/>
  <c r="AL5" i="1"/>
  <c r="AM5" i="1"/>
  <c r="AN5" i="1"/>
  <c r="AP5" i="1"/>
  <c r="AQ5" i="1"/>
  <c r="AR5" i="1"/>
  <c r="AH5" i="1"/>
  <c r="AS5" i="1"/>
  <c r="AI36" i="1"/>
  <c r="AJ36" i="1"/>
  <c r="AK36" i="1"/>
  <c r="AL36" i="1"/>
  <c r="AM36" i="1"/>
  <c r="AN36" i="1"/>
  <c r="AO36" i="1"/>
  <c r="AP36" i="1"/>
  <c r="AQ36" i="1"/>
  <c r="AR36" i="1"/>
  <c r="AS36" i="1"/>
  <c r="AH20" i="1"/>
  <c r="AH22" i="1" s="1"/>
  <c r="AI20" i="1"/>
  <c r="AI22" i="1" s="1"/>
  <c r="AJ20" i="1"/>
  <c r="AJ22" i="1" s="1"/>
  <c r="AK20" i="1"/>
  <c r="AK22" i="1" s="1"/>
  <c r="AL20" i="1"/>
  <c r="AL22" i="1" s="1"/>
  <c r="AM20" i="1"/>
  <c r="AM22" i="1" s="1"/>
  <c r="AN20" i="1"/>
  <c r="AN22" i="1" s="1"/>
  <c r="AO20" i="1"/>
  <c r="AO22" i="1" s="1"/>
  <c r="AP20" i="1"/>
  <c r="AQ20" i="1"/>
  <c r="AR20" i="1"/>
  <c r="AS20" i="1"/>
  <c r="AT20" i="1"/>
  <c r="AT36" i="1"/>
  <c r="AS27" i="1"/>
  <c r="AR22" i="1"/>
  <c r="AH15" i="1"/>
  <c r="AI15" i="1"/>
  <c r="AI39" i="1" s="1"/>
  <c r="AJ15" i="1"/>
  <c r="AJ39" i="1" s="1"/>
  <c r="AK15" i="1"/>
  <c r="AK39" i="1" s="1"/>
  <c r="AL15" i="1"/>
  <c r="AL39" i="1" s="1"/>
  <c r="AM15" i="1"/>
  <c r="AM39" i="1" s="1"/>
  <c r="AN15" i="1"/>
  <c r="AN39" i="1" s="1"/>
  <c r="AO15" i="1"/>
  <c r="AO39" i="1" s="1"/>
  <c r="AP15" i="1"/>
  <c r="AP39" i="1" s="1"/>
  <c r="AQ15" i="1"/>
  <c r="AQ39" i="1" s="1"/>
  <c r="AR15" i="1"/>
  <c r="AR39" i="1" s="1"/>
  <c r="AS15" i="1"/>
  <c r="AS39" i="1" s="1"/>
  <c r="AT15" i="1"/>
  <c r="AT27" i="1"/>
  <c r="AT22" i="1"/>
  <c r="AT5" i="1"/>
  <c r="E14" i="2" l="1"/>
  <c r="E15" i="2"/>
  <c r="F15" i="2"/>
  <c r="F14" i="2"/>
  <c r="G15" i="2"/>
  <c r="G14" i="2"/>
  <c r="E11" i="2"/>
  <c r="E10" i="2"/>
  <c r="F10" i="2"/>
  <c r="F11" i="2"/>
  <c r="G10" i="2"/>
  <c r="G11" i="2"/>
  <c r="H11" i="2"/>
  <c r="H10" i="2"/>
  <c r="I10" i="2"/>
  <c r="I11" i="2"/>
  <c r="J11" i="2"/>
  <c r="J10" i="2"/>
  <c r="K11" i="2"/>
  <c r="K10" i="2"/>
  <c r="N13" i="4"/>
  <c r="O13" i="4" s="1"/>
  <c r="L13" i="4"/>
  <c r="K13" i="4" s="1"/>
  <c r="AX22" i="1"/>
  <c r="AX24" i="1" s="1"/>
  <c r="AY21" i="1"/>
  <c r="AX36" i="1"/>
  <c r="AZ10" i="1"/>
  <c r="AY20" i="1"/>
  <c r="AW20" i="1"/>
  <c r="AW38" i="1"/>
  <c r="AX35" i="1"/>
  <c r="AW22" i="1"/>
  <c r="AW35" i="1"/>
  <c r="AV22" i="1"/>
  <c r="AV34" i="1" s="1"/>
  <c r="AV35" i="1"/>
  <c r="AV24" i="1"/>
  <c r="AZ16" i="1"/>
  <c r="AY15" i="1"/>
  <c r="AY39" i="1" s="1"/>
  <c r="AW15" i="1"/>
  <c r="AW39" i="1" s="1"/>
  <c r="AV15" i="1"/>
  <c r="AV39" i="1" s="1"/>
  <c r="AX37" i="1"/>
  <c r="AZ23" i="1" s="1"/>
  <c r="AX26" i="1"/>
  <c r="AU15" i="1"/>
  <c r="AU39" i="1" s="1"/>
  <c r="AU28" i="1"/>
  <c r="AD22" i="1"/>
  <c r="AD36" i="1"/>
  <c r="AB34" i="1"/>
  <c r="AB24" i="1"/>
  <c r="AC22" i="1"/>
  <c r="AC38" i="1"/>
  <c r="AC35" i="1"/>
  <c r="AA34" i="1"/>
  <c r="AA24" i="1"/>
  <c r="F24" i="1"/>
  <c r="F26" i="1" s="1"/>
  <c r="F28" i="1" s="1"/>
  <c r="F30" i="1" s="1"/>
  <c r="F31" i="1" s="1"/>
  <c r="J20" i="1"/>
  <c r="J22" i="1" s="1"/>
  <c r="J24" i="1" s="1"/>
  <c r="J26" i="1" s="1"/>
  <c r="J28" i="1" s="1"/>
  <c r="J30" i="1" s="1"/>
  <c r="J31" i="1" s="1"/>
  <c r="N24" i="1"/>
  <c r="N26" i="1" s="1"/>
  <c r="N28" i="1" s="1"/>
  <c r="N30" i="1" s="1"/>
  <c r="N31" i="1" s="1"/>
  <c r="R24" i="1"/>
  <c r="R26" i="1" s="1"/>
  <c r="R28" i="1" s="1"/>
  <c r="R30" i="1" s="1"/>
  <c r="R31" i="1" s="1"/>
  <c r="V22" i="1"/>
  <c r="V24" i="1" s="1"/>
  <c r="V26" i="1" s="1"/>
  <c r="V28" i="1" s="1"/>
  <c r="V30" i="1" s="1"/>
  <c r="V31" i="1" s="1"/>
  <c r="Z26" i="1"/>
  <c r="Z28" i="1" s="1"/>
  <c r="Z30" i="1" s="1"/>
  <c r="Z31" i="1" s="1"/>
  <c r="E31" i="1"/>
  <c r="AH85" i="1"/>
  <c r="AI85" i="1"/>
  <c r="AJ85" i="1"/>
  <c r="AK85" i="1"/>
  <c r="AL85" i="1"/>
  <c r="AM85" i="1"/>
  <c r="AN85" i="1"/>
  <c r="AO85" i="1"/>
  <c r="AP85" i="1"/>
  <c r="AQ85" i="1"/>
  <c r="AI35" i="1"/>
  <c r="AI38" i="1"/>
  <c r="AJ35" i="1"/>
  <c r="AJ38" i="1"/>
  <c r="AK35" i="1"/>
  <c r="AK38" i="1"/>
  <c r="AL38" i="1"/>
  <c r="AL35" i="1"/>
  <c r="AM38" i="1"/>
  <c r="AM35" i="1"/>
  <c r="AN38" i="1"/>
  <c r="AN35" i="1"/>
  <c r="AO38" i="1"/>
  <c r="AO35" i="1"/>
  <c r="AP22" i="1"/>
  <c r="AP35" i="1"/>
  <c r="AP38" i="1"/>
  <c r="AQ22" i="1"/>
  <c r="AR34" i="1" s="1"/>
  <c r="AQ35" i="1"/>
  <c r="AQ38" i="1"/>
  <c r="AR38" i="1"/>
  <c r="AR35" i="1"/>
  <c r="AS22" i="1"/>
  <c r="AS35" i="1"/>
  <c r="AS38" i="1"/>
  <c r="AR24" i="1"/>
  <c r="AO24" i="1"/>
  <c r="AO34" i="1"/>
  <c r="AN24" i="1"/>
  <c r="AN34" i="1"/>
  <c r="AM24" i="1"/>
  <c r="AM34" i="1"/>
  <c r="AL24" i="1"/>
  <c r="AL34" i="1"/>
  <c r="AK24" i="1"/>
  <c r="AK34" i="1"/>
  <c r="AJ24" i="1"/>
  <c r="AJ34" i="1"/>
  <c r="AI24" i="1"/>
  <c r="AI34" i="1"/>
  <c r="AH24" i="1"/>
  <c r="AT35" i="1"/>
  <c r="AT24" i="1"/>
  <c r="AT34" i="1"/>
  <c r="AZ21" i="1" l="1"/>
  <c r="AY36" i="1"/>
  <c r="AW34" i="1"/>
  <c r="AZ20" i="1"/>
  <c r="BA10" i="1"/>
  <c r="AY35" i="1"/>
  <c r="AY22" i="1"/>
  <c r="AX34" i="1"/>
  <c r="AW24" i="1"/>
  <c r="AV37" i="1"/>
  <c r="AV26" i="1"/>
  <c r="BA16" i="1"/>
  <c r="AZ15" i="1"/>
  <c r="AZ39" i="1" s="1"/>
  <c r="AX28" i="1"/>
  <c r="AX40" i="1"/>
  <c r="AD34" i="1"/>
  <c r="AD24" i="1"/>
  <c r="AB37" i="1"/>
  <c r="AB26" i="1"/>
  <c r="AC34" i="1"/>
  <c r="AC24" i="1"/>
  <c r="AA26" i="1"/>
  <c r="AP34" i="1"/>
  <c r="AP24" i="1"/>
  <c r="AQ34" i="1"/>
  <c r="AQ24" i="1"/>
  <c r="AS34" i="1"/>
  <c r="AS24" i="1"/>
  <c r="AR37" i="1"/>
  <c r="AR26" i="1"/>
  <c r="AO37" i="1"/>
  <c r="AO26" i="1"/>
  <c r="AN37" i="1"/>
  <c r="AN26" i="1"/>
  <c r="AM37" i="1"/>
  <c r="AM26" i="1"/>
  <c r="AL37" i="1"/>
  <c r="AL26" i="1"/>
  <c r="AK37" i="1"/>
  <c r="AK26" i="1"/>
  <c r="AJ37" i="1"/>
  <c r="AJ26" i="1"/>
  <c r="AI37" i="1"/>
  <c r="AI26" i="1"/>
  <c r="AH26" i="1"/>
  <c r="AT26" i="1"/>
  <c r="AZ36" i="1" l="1"/>
  <c r="BA21" i="1"/>
  <c r="AZ22" i="1"/>
  <c r="AZ38" i="1"/>
  <c r="AZ35" i="1"/>
  <c r="BA20" i="1"/>
  <c r="BB10" i="1"/>
  <c r="AY34" i="1"/>
  <c r="AW26" i="1"/>
  <c r="AW37" i="1"/>
  <c r="AY23" i="1" s="1"/>
  <c r="AV28" i="1"/>
  <c r="AV29" i="1" s="1"/>
  <c r="AV40" i="1"/>
  <c r="BB16" i="1"/>
  <c r="BA15" i="1"/>
  <c r="BA39" i="1" s="1"/>
  <c r="AD26" i="1"/>
  <c r="AD37" i="1"/>
  <c r="AB40" i="1"/>
  <c r="AB28" i="1"/>
  <c r="AB29" i="1" s="1"/>
  <c r="AC37" i="1"/>
  <c r="AC26" i="1"/>
  <c r="AA28" i="1"/>
  <c r="AA29" i="1" s="1"/>
  <c r="AU29" i="1" s="1"/>
  <c r="AA40" i="1"/>
  <c r="AP37" i="1"/>
  <c r="AP26" i="1"/>
  <c r="AQ37" i="1"/>
  <c r="AQ26" i="1"/>
  <c r="AS37" i="1"/>
  <c r="AS26" i="1"/>
  <c r="AR40" i="1"/>
  <c r="AR28" i="1"/>
  <c r="AO40" i="1"/>
  <c r="AO28" i="1"/>
  <c r="AN40" i="1"/>
  <c r="AN28" i="1"/>
  <c r="AM40" i="1"/>
  <c r="AM28" i="1"/>
  <c r="AL40" i="1"/>
  <c r="AL28" i="1"/>
  <c r="AK40" i="1"/>
  <c r="AK28" i="1"/>
  <c r="AJ40" i="1"/>
  <c r="AJ28" i="1"/>
  <c r="AI28" i="1"/>
  <c r="AH28" i="1"/>
  <c r="AT28" i="1"/>
  <c r="AT40" i="1"/>
  <c r="AU30" i="1" l="1"/>
  <c r="AU41" i="1"/>
  <c r="AY24" i="1"/>
  <c r="AY38" i="1"/>
  <c r="BA36" i="1"/>
  <c r="BB21" i="1"/>
  <c r="AZ34" i="1"/>
  <c r="AZ24" i="1"/>
  <c r="BA22" i="1"/>
  <c r="BA35" i="1"/>
  <c r="BB20" i="1"/>
  <c r="BC10" i="1"/>
  <c r="AY37" i="1"/>
  <c r="BA23" i="1" s="1"/>
  <c r="BA38" i="1" s="1"/>
  <c r="AY26" i="1"/>
  <c r="AW28" i="1"/>
  <c r="AW40" i="1"/>
  <c r="AV41" i="1"/>
  <c r="AW29" i="1" s="1"/>
  <c r="AV30" i="1"/>
  <c r="BB15" i="1"/>
  <c r="BB39" i="1" s="1"/>
  <c r="BC16" i="1"/>
  <c r="AD40" i="1"/>
  <c r="AD28" i="1"/>
  <c r="AD29" i="1" s="1"/>
  <c r="AB30" i="1"/>
  <c r="AB31" i="1" s="1"/>
  <c r="AB41" i="1"/>
  <c r="AC40" i="1"/>
  <c r="AC28" i="1"/>
  <c r="AC29" i="1" s="1"/>
  <c r="AA41" i="1"/>
  <c r="AA30" i="1"/>
  <c r="AA31" i="1" s="1"/>
  <c r="AP40" i="1"/>
  <c r="AP28" i="1"/>
  <c r="AQ40" i="1"/>
  <c r="AQ28" i="1"/>
  <c r="AS40" i="1"/>
  <c r="AS28" i="1"/>
  <c r="AR41" i="1"/>
  <c r="AR30" i="1"/>
  <c r="AR31" i="1" s="1"/>
  <c r="AO41" i="1"/>
  <c r="AO30" i="1"/>
  <c r="AN41" i="1"/>
  <c r="AN30" i="1"/>
  <c r="AM41" i="1"/>
  <c r="AM30" i="1"/>
  <c r="AL41" i="1"/>
  <c r="AL30" i="1"/>
  <c r="AK41" i="1"/>
  <c r="AK30" i="1"/>
  <c r="AJ41" i="1"/>
  <c r="AJ30" i="1"/>
  <c r="AI41" i="1"/>
  <c r="AI30" i="1"/>
  <c r="AH30" i="1"/>
  <c r="AT30" i="1"/>
  <c r="AT31" i="1" s="1"/>
  <c r="H13" i="2" l="1"/>
  <c r="AV31" i="1"/>
  <c r="BB36" i="1"/>
  <c r="BC21" i="1"/>
  <c r="AZ26" i="1"/>
  <c r="AZ37" i="1"/>
  <c r="BB23" i="1" s="1"/>
  <c r="BB38" i="1" s="1"/>
  <c r="BA34" i="1"/>
  <c r="BA24" i="1"/>
  <c r="BB22" i="1"/>
  <c r="BB35" i="1"/>
  <c r="BC20" i="1"/>
  <c r="BD10" i="1"/>
  <c r="AY28" i="1"/>
  <c r="AY40" i="1"/>
  <c r="AW41" i="1"/>
  <c r="AX29" i="1" s="1"/>
  <c r="AW30" i="1"/>
  <c r="BD16" i="1"/>
  <c r="BC15" i="1"/>
  <c r="BC39" i="1" s="1"/>
  <c r="AD41" i="1"/>
  <c r="AD30" i="1"/>
  <c r="AD31" i="1" s="1"/>
  <c r="AC30" i="1"/>
  <c r="AC31" i="1" s="1"/>
  <c r="AC41" i="1"/>
  <c r="AH64" i="1"/>
  <c r="AI31" i="1"/>
  <c r="AI64" i="1"/>
  <c r="AJ31" i="1"/>
  <c r="AJ64" i="1"/>
  <c r="AK31" i="1"/>
  <c r="AK64" i="1"/>
  <c r="AL31" i="1"/>
  <c r="AL64" i="1"/>
  <c r="AM31" i="1"/>
  <c r="AM64" i="1"/>
  <c r="AN31" i="1"/>
  <c r="AN64" i="1"/>
  <c r="AO31" i="1"/>
  <c r="AO64" i="1"/>
  <c r="AP41" i="1"/>
  <c r="AP30" i="1"/>
  <c r="AP31" i="1" s="1"/>
  <c r="AQ41" i="1"/>
  <c r="AQ30" i="1"/>
  <c r="AQ31" i="1" s="1"/>
  <c r="AS41" i="1"/>
  <c r="AS30" i="1"/>
  <c r="AS31" i="1" s="1"/>
  <c r="H14" i="2" l="1"/>
  <c r="H15" i="2"/>
  <c r="I13" i="2"/>
  <c r="AW31" i="1"/>
  <c r="AX41" i="1"/>
  <c r="AY29" i="1" s="1"/>
  <c r="AX30" i="1"/>
  <c r="BC36" i="1"/>
  <c r="BD21" i="1"/>
  <c r="AZ40" i="1"/>
  <c r="AZ28" i="1"/>
  <c r="BA26" i="1"/>
  <c r="BA37" i="1"/>
  <c r="BC23" i="1" s="1"/>
  <c r="BC38" i="1" s="1"/>
  <c r="BB24" i="1"/>
  <c r="BB34" i="1"/>
  <c r="BC35" i="1"/>
  <c r="BC22" i="1"/>
  <c r="BE10" i="1"/>
  <c r="BE20" i="1" s="1"/>
  <c r="BD20" i="1"/>
  <c r="BD15" i="1"/>
  <c r="BD39" i="1" s="1"/>
  <c r="BE16" i="1"/>
  <c r="BE15" i="1" s="1"/>
  <c r="I14" i="2" l="1"/>
  <c r="I15" i="2"/>
  <c r="AY30" i="1"/>
  <c r="AY41" i="1"/>
  <c r="AZ29" i="1" s="1"/>
  <c r="AX31" i="1"/>
  <c r="J13" i="2"/>
  <c r="BD36" i="1"/>
  <c r="BE21" i="1"/>
  <c r="AZ30" i="1"/>
  <c r="AZ31" i="1" s="1"/>
  <c r="AZ41" i="1"/>
  <c r="BA29" i="1" s="1"/>
  <c r="BA40" i="1"/>
  <c r="BA28" i="1"/>
  <c r="BB26" i="1"/>
  <c r="BB37" i="1"/>
  <c r="BD23" i="1" s="1"/>
  <c r="BD38" i="1" s="1"/>
  <c r="BC34" i="1"/>
  <c r="BC24" i="1"/>
  <c r="BE35" i="1"/>
  <c r="BE22" i="1"/>
  <c r="BD22" i="1"/>
  <c r="BD35" i="1"/>
  <c r="K13" i="2" l="1"/>
  <c r="AY31" i="1"/>
  <c r="J14" i="2"/>
  <c r="J15" i="2"/>
  <c r="BE39" i="1"/>
  <c r="BE36" i="1"/>
  <c r="BA41" i="1"/>
  <c r="BB29" i="1" s="1"/>
  <c r="BA30" i="1"/>
  <c r="BA31" i="1" s="1"/>
  <c r="BB40" i="1"/>
  <c r="BB28" i="1"/>
  <c r="BC26" i="1"/>
  <c r="BC37" i="1"/>
  <c r="BE23" i="1" s="1"/>
  <c r="BE34" i="1"/>
  <c r="BD24" i="1"/>
  <c r="BD34" i="1"/>
  <c r="K14" i="2" l="1"/>
  <c r="K15" i="2"/>
  <c r="BE24" i="1"/>
  <c r="BE38" i="1"/>
  <c r="BB41" i="1"/>
  <c r="BC29" i="1" s="1"/>
  <c r="BB30" i="1"/>
  <c r="BB31" i="1" s="1"/>
  <c r="BC28" i="1"/>
  <c r="BC40" i="1"/>
  <c r="BE26" i="1"/>
  <c r="BE37" i="1"/>
  <c r="BD37" i="1"/>
  <c r="BD26" i="1"/>
  <c r="BC30" i="1" l="1"/>
  <c r="BC31" i="1" s="1"/>
  <c r="BC41" i="1"/>
  <c r="BD29" i="1" s="1"/>
  <c r="BE28" i="1"/>
  <c r="BE40" i="1"/>
  <c r="BD40" i="1"/>
  <c r="BD28" i="1"/>
  <c r="BD41" i="1" l="1"/>
  <c r="BE29" i="1" s="1"/>
  <c r="BD30" i="1"/>
  <c r="BD31" i="1" s="1"/>
  <c r="BE30" i="1" l="1"/>
  <c r="BE31" i="1" s="1"/>
  <c r="BE4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tc={2AF33ABE-9C4C-4CA0-87A2-0AD9DD1CE159}</author>
  </authors>
  <commentList>
    <comment ref="E13" authorId="0" shapeId="0" xr:uid="{2AF33ABE-9C4C-4CA0-87A2-0AD9DD1CE15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Bain&amp;Co. reported expected growth rate for next 10 years.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<sst xmlns="http://schemas.openxmlformats.org/spreadsheetml/2006/main" count="183" uniqueCount="168">
  <si>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</si>
  <si>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</si>
  <si>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</si>
  <si>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</si>
  <si>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</si>
  <si>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</si>
  <si>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</si>
  <si>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</si>
  <si>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</si>
  <si>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</si>
  <si>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</si>
  <si>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</si>
  <si>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</si>
  <si>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</si>
  <si>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</si>
  <si>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</si>
  <si>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</si>
  <si>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</si>
  <si>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</si>
  <si>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</si>
  <si>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</si>
  <si>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</si>
  <si>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</si>
  <si>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</si>
  <si>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</si>
  <si>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</si>
  <si>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Q3 2025</t>
  </si>
  <si>
    <t>Q4 2025</t>
  </si>
  <si>
    <t>USD in Millions</t>
  </si>
  <si>
    <t>Warehouses</t>
  </si>
  <si>
    <t>US</t>
  </si>
  <si>
    <t>Canada</t>
  </si>
  <si>
    <t>International</t>
  </si>
  <si>
    <t>Gold Star</t>
  </si>
  <si>
    <t>Business</t>
  </si>
  <si>
    <t>Foods</t>
  </si>
  <si>
    <t>Non-Foods</t>
  </si>
  <si>
    <t>Fresh Foods</t>
  </si>
  <si>
    <t>Ancillary</t>
  </si>
  <si>
    <t>Memberships</t>
  </si>
  <si>
    <t>Sales</t>
  </si>
  <si>
    <t>Revenue</t>
  </si>
  <si>
    <t>COGS</t>
  </si>
  <si>
    <t>Other</t>
  </si>
  <si>
    <t>Gross Profit</t>
  </si>
  <si>
    <t>SG&amp;A</t>
  </si>
  <si>
    <t>OpInc</t>
  </si>
  <si>
    <t>Interest</t>
  </si>
  <si>
    <t>Pretax Income</t>
  </si>
  <si>
    <t>Taxes</t>
  </si>
  <si>
    <t>Net Income</t>
  </si>
  <si>
    <t>EPS</t>
  </si>
  <si>
    <t>Shares</t>
  </si>
  <si>
    <t>Revenue y/y</t>
  </si>
  <si>
    <t>Memberships y/y</t>
  </si>
  <si>
    <t>Sales y/y</t>
  </si>
  <si>
    <t>Gross Margin</t>
  </si>
  <si>
    <t>Households</t>
  </si>
  <si>
    <t>Sales Margin</t>
  </si>
  <si>
    <t>Operating Margin</t>
  </si>
  <si>
    <t>Tax Rate</t>
  </si>
  <si>
    <t>Employees</t>
  </si>
  <si>
    <t>Net Cash</t>
  </si>
  <si>
    <t>Cash</t>
  </si>
  <si>
    <t>AR</t>
  </si>
  <si>
    <t>Inventories</t>
  </si>
  <si>
    <t>OCA</t>
  </si>
  <si>
    <t>PP&amp;E</t>
  </si>
  <si>
    <t>Operating Lease</t>
  </si>
  <si>
    <t>ONCA</t>
  </si>
  <si>
    <t>AP</t>
  </si>
  <si>
    <t>DR</t>
  </si>
  <si>
    <t>OCL</t>
  </si>
  <si>
    <t>Debt</t>
  </si>
  <si>
    <t>ONCL</t>
  </si>
  <si>
    <t>SE</t>
  </si>
  <si>
    <t>L+SE</t>
  </si>
  <si>
    <t>Model NI</t>
  </si>
  <si>
    <t>Reported NI</t>
  </si>
  <si>
    <t>D&amp;A</t>
  </si>
  <si>
    <t>SBC</t>
  </si>
  <si>
    <t>WC</t>
  </si>
  <si>
    <t>CFFO</t>
  </si>
  <si>
    <t>Securities</t>
  </si>
  <si>
    <t>CapEx</t>
  </si>
  <si>
    <t xml:space="preserve">Other </t>
  </si>
  <si>
    <t>CFFI</t>
  </si>
  <si>
    <t>Buybacks</t>
  </si>
  <si>
    <t>Dividends</t>
  </si>
  <si>
    <t>CFFF</t>
  </si>
  <si>
    <t>CIC</t>
  </si>
  <si>
    <t>Total Card Holders</t>
  </si>
  <si>
    <t>Assets</t>
  </si>
  <si>
    <t>S&amp;B</t>
  </si>
  <si>
    <t>NCLE</t>
  </si>
  <si>
    <t>IOA</t>
  </si>
  <si>
    <t>SBC Tax</t>
  </si>
  <si>
    <t>AMV</t>
  </si>
  <si>
    <t>FCF</t>
  </si>
  <si>
    <t>Growth</t>
  </si>
  <si>
    <t>EBIT</t>
  </si>
  <si>
    <t>Margin</t>
  </si>
  <si>
    <t>Trend</t>
  </si>
  <si>
    <t>Projected</t>
  </si>
  <si>
    <t>Price</t>
  </si>
  <si>
    <t>MC</t>
  </si>
  <si>
    <t>EV</t>
  </si>
  <si>
    <t>CEO: Ron Vachris replaced W. Craig Jelinek</t>
  </si>
  <si>
    <t>CFO: Gary Millerchip</t>
  </si>
  <si>
    <t>COO: Ron Vachris</t>
  </si>
  <si>
    <t>Equity</t>
  </si>
  <si>
    <t>Cost of Debt</t>
  </si>
  <si>
    <t>D/(D+E)</t>
  </si>
  <si>
    <t>After Tax cost of Debt</t>
  </si>
  <si>
    <t>Risk Free Rate (10yr T-yield)</t>
  </si>
  <si>
    <t>Expected Market Return</t>
  </si>
  <si>
    <t>Market Risk Premium</t>
  </si>
  <si>
    <t>Beta</t>
  </si>
  <si>
    <t>E/(D+E)</t>
  </si>
  <si>
    <t>Cost of Equity</t>
  </si>
  <si>
    <t>WACC</t>
  </si>
  <si>
    <r>
      <t xml:space="preserve">Unlevered FCF </t>
    </r>
    <r>
      <rPr>
        <i/>
        <sz val="11"/>
        <color theme="1"/>
        <rFont val="Aptos Narrow"/>
        <family val="2"/>
        <scheme val="minor"/>
      </rPr>
      <t>(USD in Millions)</t>
    </r>
  </si>
  <si>
    <t>Fiscal Year</t>
  </si>
  <si>
    <t>2024E</t>
  </si>
  <si>
    <t>2025E</t>
  </si>
  <si>
    <t>2026E</t>
  </si>
  <si>
    <t>2027E</t>
  </si>
  <si>
    <t>2028E</t>
  </si>
  <si>
    <t>2029E</t>
  </si>
  <si>
    <t>Unlevered FCF</t>
  </si>
  <si>
    <t>Projected Year</t>
  </si>
  <si>
    <t>PV of FCF</t>
  </si>
  <si>
    <t>Implied Share Price</t>
  </si>
  <si>
    <t>Sensitivity Table</t>
  </si>
  <si>
    <t>EV/EBIT</t>
  </si>
  <si>
    <t>Sum of PV of FCF</t>
  </si>
  <si>
    <t>Growth Rate</t>
  </si>
  <si>
    <t>Industry Growth Rate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</si>
  <si>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</si>
  <si>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</si>
  <si>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</si>
  <si>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</si>
  <si>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</si>
  <si>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</si>
  <si>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</si>
  <si>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</t>
  </si>
  <si>
    <t>Current Ratio</t>
  </si>
  <si>
    <t>Quick Ratio</t>
  </si>
  <si>
    <t>D/A Ratio</t>
  </si>
  <si>
    <t>Solvency Ratio</t>
  </si>
  <si>
    <t>D/E Ratio</t>
  </si>
  <si>
    <t>ROA</t>
  </si>
  <si>
    <t>ROE</t>
  </si>
  <si>
    <t>As of most recent 10-K</t>
  </si>
  <si>
    <t>Revenue Growth</t>
  </si>
  <si>
    <t>COGS % of Revenue</t>
  </si>
  <si>
    <t>Tax % of Pretax Income</t>
  </si>
  <si>
    <t>SGA % of Revenue</t>
  </si>
  <si>
    <t>CapEx % B. PPE</t>
  </si>
  <si>
    <t>DA % of B. PPE</t>
  </si>
  <si>
    <t>DSO</t>
  </si>
  <si>
    <t>DIO</t>
  </si>
  <si>
    <t>DPO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</si>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</sst>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m/d/yy;@"/>
    <numFmt numFmtId="168" formatCode="#,##0.000"/>
    <numFmt numFmtId="169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166" fontId="0" fillId="0" borderId="0" xfId="0" applyNumberFormat="1"/>
    <xf numFmtId="0" fontId="4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3" fontId="0" fillId="0" borderId="0" xfId="0" applyNumberFormat="1" applyAlignment="1">
      <alignment horizontal="left"/>
    </xf>
    <xf numFmtId="44" fontId="0" fillId="0" borderId="0" xfId="2" applyFont="1"/>
    <xf numFmtId="168" fontId="0" fillId="0" borderId="0" xfId="0" applyNumberFormat="1"/>
    <xf numFmtId="168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9" fontId="0" fillId="0" borderId="0" xfId="3" applyFont="1"/>
    <xf numFmtId="9" fontId="2" fillId="0" borderId="0" xfId="3" applyFont="1"/>
    <xf numFmtId="166" fontId="4" fillId="0" borderId="0" xfId="0" applyNumberFormat="1" applyFont="1"/>
    <xf numFmtId="3" fontId="0" fillId="0" borderId="0" xfId="2" applyNumberFormat="1" applyFont="1"/>
    <xf numFmtId="3" fontId="2" fillId="0" borderId="0" xfId="0" applyNumberFormat="1" applyFont="1" applyAlignment="1">
      <alignment horizontal="left"/>
    </xf>
    <xf numFmtId="3" fontId="0" fillId="0" borderId="0" xfId="3" applyNumberFormat="1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4" fillId="0" borderId="5" xfId="0" applyFont="1" applyBorder="1" applyAlignment="1">
      <alignment horizontal="left" inden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0" xfId="0" applyFont="1" applyBorder="1"/>
    <xf numFmtId="0" fontId="4" fillId="0" borderId="2" xfId="0" applyFont="1" applyBorder="1"/>
    <xf numFmtId="0" fontId="4" fillId="0" borderId="10" xfId="0" applyFont="1" applyBorder="1" applyAlignment="1">
      <alignment horizontal="center"/>
    </xf>
    <xf numFmtId="3" fontId="0" fillId="0" borderId="0" xfId="0" applyNumberFormat="1" applyBorder="1"/>
    <xf numFmtId="9" fontId="0" fillId="0" borderId="0" xfId="3" applyFont="1" applyBorder="1"/>
    <xf numFmtId="0" fontId="2" fillId="0" borderId="10" xfId="0" applyFont="1" applyBorder="1"/>
    <xf numFmtId="0" fontId="0" fillId="0" borderId="0" xfId="0" applyAlignment="1">
      <alignment horizontal="right"/>
    </xf>
    <xf numFmtId="3" fontId="0" fillId="0" borderId="10" xfId="0" applyNumberFormat="1" applyBorder="1"/>
    <xf numFmtId="3" fontId="2" fillId="0" borderId="10" xfId="0" applyNumberFormat="1" applyFont="1" applyBorder="1"/>
    <xf numFmtId="0" fontId="3" fillId="2" borderId="0" xfId="0" applyFont="1" applyFill="1" applyAlignment="1">
      <alignment horizontal="center"/>
    </xf>
    <xf numFmtId="169" fontId="0" fillId="0" borderId="0" xfId="1" applyNumberFormat="1" applyFont="1"/>
    <xf numFmtId="10" fontId="0" fillId="0" borderId="0" xfId="0" applyNumberFormat="1"/>
    <xf numFmtId="10" fontId="0" fillId="3" borderId="0" xfId="0" applyNumberFormat="1" applyFill="1"/>
    <xf numFmtId="0" fontId="3" fillId="2" borderId="0" xfId="0" applyFont="1" applyFill="1" applyAlignment="1">
      <alignment horizontal="center" vertical="center" textRotation="90"/>
    </xf>
    <xf numFmtId="0" fontId="0" fillId="3" borderId="0" xfId="0" applyFill="1"/>
    <xf numFmtId="0" fontId="3" fillId="2" borderId="0" xfId="0" applyFont="1" applyFill="1"/>
    <xf numFmtId="3" fontId="0" fillId="0" borderId="0" xfId="1" applyNumberFormat="1" applyFont="1"/>
    <xf numFmtId="0" fontId="2" fillId="3" borderId="10" xfId="0" applyFont="1" applyFill="1" applyBorder="1"/>
    <xf numFmtId="0" fontId="0" fillId="3" borderId="10" xfId="0" applyFill="1" applyBorder="1"/>
    <xf numFmtId="0" fontId="4" fillId="0" borderId="0" xfId="0" applyFont="1" applyFill="1" applyBorder="1"/>
    <xf numFmtId="0" fontId="0" fillId="0" borderId="1" xfId="0" applyFill="1" applyBorder="1"/>
    <xf numFmtId="0" fontId="0" fillId="0" borderId="1" xfId="0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180975</xdr:rowOff>
    </xdr:from>
    <xdr:to>
      <xdr:col>6</xdr:col>
      <xdr:colOff>9525</xdr:colOff>
      <xdr:row>17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287CCBB-79E8-A4AC-03B5-E30CE417879C}"/>
            </a:ext>
          </a:extLst>
        </xdr:cNvPr>
        <xdr:cNvCxnSpPr/>
      </xdr:nvCxnSpPr>
      <xdr:spPr>
        <a:xfrm>
          <a:off x="4876800" y="561975"/>
          <a:ext cx="9525" cy="23812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0</xdr:colOff>
      <xdr:row>0</xdr:row>
      <xdr:rowOff>66675</xdr:rowOff>
    </xdr:from>
    <xdr:to>
      <xdr:col>46</xdr:col>
      <xdr:colOff>0</xdr:colOff>
      <xdr:row>96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77A3FAE-8AF7-A117-D278-B54666673F04}"/>
            </a:ext>
          </a:extLst>
        </xdr:cNvPr>
        <xdr:cNvCxnSpPr/>
      </xdr:nvCxnSpPr>
      <xdr:spPr>
        <a:xfrm>
          <a:off x="29013150" y="66675"/>
          <a:ext cx="0" cy="18268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0</xdr:row>
      <xdr:rowOff>0</xdr:rowOff>
    </xdr:from>
    <xdr:to>
      <xdr:col>26</xdr:col>
      <xdr:colOff>9525</xdr:colOff>
      <xdr:row>95</xdr:row>
      <xdr:rowOff>57150</xdr:rowOff>
    </xdr:to>
    <xdr:cxnSp macro="">
      <xdr:nvCxnSpPr>
        <xdr:cNvPr id="11" name="Straight Connector 5">
          <a:extLst>
            <a:ext uri="{FF2B5EF4-FFF2-40B4-BE49-F238E27FC236}">
              <a16:creationId xmlns:a16="http://schemas.microsoft.com/office/drawing/2014/main" id="{6FF135B6-7E78-6927-CD06-66E17D6F5D76}"/>
            </a:ext>
          </a:extLst>
        </xdr:cNvPr>
        <xdr:cNvCxnSpPr/>
      </xdr:nvCxnSpPr>
      <xdr:spPr>
        <a:xfrm>
          <a:off x="16583025" y="0"/>
          <a:ext cx="0" cy="18154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4d300fcf58872a0/Investment%20Research/Intel%20Model.xlsx" TargetMode="External"/><Relationship Id="rId1" Type="http://schemas.openxmlformats.org/officeDocument/2006/relationships/externalLinkPath" Target="Intel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Model"/>
      <sheetName val="WACC"/>
      <sheetName val="DCF"/>
    </sheetNames>
    <sheetDataSet>
      <sheetData sheetId="0">
        <row r="4">
          <cell r="J4">
            <v>4267</v>
          </cell>
        </row>
        <row r="8">
          <cell r="J8">
            <v>110013.85999999999</v>
          </cell>
        </row>
      </sheetData>
      <sheetData sheetId="1">
        <row r="30">
          <cell r="AQ30">
            <v>31</v>
          </cell>
        </row>
        <row r="42">
          <cell r="BF42">
            <v>0.08</v>
          </cell>
        </row>
        <row r="45">
          <cell r="AQ45">
            <v>-16115</v>
          </cell>
        </row>
        <row r="55">
          <cell r="AQ55">
            <v>46978</v>
          </cell>
        </row>
        <row r="76"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</row>
      </sheetData>
      <sheetData sheetId="2">
        <row r="18">
          <cell r="C18">
            <v>6.7869952248210394E-2</v>
          </cell>
        </row>
      </sheetData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niel Dantas Jr" id="{67960551-966A-43F4-8860-643E54722FC4}" userId="64d300fcf58872a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3" dT="2024-10-14T17:45:23.47" personId="{67960551-966A-43F4-8860-643E54722FC4}" id="{2AF33ABE-9C4C-4CA0-87A2-0AD9DD1CE159}">
    <text>Source: Bain&amp;Co. reported expected growth rate for next 10 years.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202B-813E-4280-A4D8-8D84D04B3684}">
  <dimension ref="B2:N25"/>
  <sheetViews>
    <sheetView workbookViewId="0">
      <selection activeCell="G6" sqref="G6"/>
    </sheetView>
  </sheetViews>
  <sheetFormatPr defaultRowHeight="15" x14ac:dyDescent="0.25"/>
  <cols>
    <col min="2" max="2" width="18.28515625" customWidth="1"/>
    <col min="12" max="12" width="2.85546875" customWidth="1"/>
  </cols>
  <sheetData>
    <row r="2" spans="2:14" x14ac:dyDescent="0.25">
      <c r="B2" s="2" t="s">
        <v>28</v>
      </c>
    </row>
    <row r="3" spans="2:14" x14ac:dyDescent="0.25">
      <c r="B3" s="2"/>
    </row>
    <row r="4" spans="2:14" x14ac:dyDescent="0.25">
      <c r="B4" s="31"/>
      <c r="C4" s="20"/>
      <c r="D4" s="20"/>
      <c r="E4" s="20"/>
      <c r="F4" s="20"/>
      <c r="G4" s="32" t="s">
        <v>103</v>
      </c>
      <c r="H4" s="32"/>
      <c r="I4" s="32"/>
      <c r="J4" s="32"/>
      <c r="K4" s="32"/>
      <c r="L4" s="21"/>
      <c r="N4" t="s">
        <v>104</v>
      </c>
    </row>
    <row r="5" spans="2:14" x14ac:dyDescent="0.25">
      <c r="B5" s="22"/>
      <c r="C5" s="30" t="s">
        <v>102</v>
      </c>
      <c r="D5" s="27">
        <v>2022</v>
      </c>
      <c r="E5" s="27">
        <v>2023</v>
      </c>
      <c r="F5" s="27">
        <v>2024</v>
      </c>
      <c r="G5" s="27">
        <v>2025</v>
      </c>
      <c r="H5" s="27">
        <v>2026</v>
      </c>
      <c r="I5" s="27">
        <v>2027</v>
      </c>
      <c r="J5" s="27">
        <v>2028</v>
      </c>
      <c r="K5" s="27">
        <v>2029</v>
      </c>
      <c r="L5" s="24"/>
      <c r="N5" t="s">
        <v>52</v>
      </c>
    </row>
    <row r="6" spans="2:14" x14ac:dyDescent="0.25">
      <c r="B6" s="22" t="s">
        <v>41</v>
      </c>
      <c r="C6" s="23"/>
      <c r="D6" s="33">
        <f>Model!AR22</f>
        <v>226954</v>
      </c>
      <c r="E6" s="33">
        <f>Model!AS22</f>
        <v>242290</v>
      </c>
      <c r="F6" s="33">
        <f>Model!AT22</f>
        <v>254453</v>
      </c>
      <c r="G6" s="33">
        <f>Model!AU22</f>
        <v>262086.59</v>
      </c>
      <c r="H6" s="33">
        <f>Model!AV22</f>
        <v>269949.18769999995</v>
      </c>
      <c r="I6" s="33">
        <f>Model!AW22</f>
        <v>275348.171454</v>
      </c>
      <c r="J6" s="33">
        <f>Model!AX22</f>
        <v>280855.13488307997</v>
      </c>
      <c r="K6" s="33">
        <f>Model!AY22</f>
        <v>286472.23758074158</v>
      </c>
      <c r="L6" s="24"/>
      <c r="N6" t="s">
        <v>105</v>
      </c>
    </row>
    <row r="7" spans="2:14" x14ac:dyDescent="0.25">
      <c r="B7" s="25" t="s">
        <v>99</v>
      </c>
      <c r="C7" s="23"/>
      <c r="D7" s="23"/>
      <c r="E7" s="34">
        <f>(E6-D6)/E6</f>
        <v>6.3296050187791483E-2</v>
      </c>
      <c r="F7" s="34">
        <f t="shared" ref="F7:K7" si="0">(F6-E6)/F6</f>
        <v>4.7800576137832923E-2</v>
      </c>
      <c r="G7" s="34">
        <f t="shared" si="0"/>
        <v>2.9126213592232997E-2</v>
      </c>
      <c r="H7" s="34">
        <f t="shared" si="0"/>
        <v>2.9126213592232848E-2</v>
      </c>
      <c r="I7" s="34">
        <f t="shared" si="0"/>
        <v>1.9607843137255065E-2</v>
      </c>
      <c r="J7" s="34">
        <f t="shared" si="0"/>
        <v>1.9607843137254808E-2</v>
      </c>
      <c r="K7" s="34">
        <f t="shared" si="0"/>
        <v>1.9607843137254947E-2</v>
      </c>
      <c r="L7" s="24"/>
      <c r="N7" t="s">
        <v>63</v>
      </c>
    </row>
    <row r="8" spans="2:14" x14ac:dyDescent="0.25">
      <c r="B8" s="22"/>
      <c r="C8" s="23"/>
      <c r="D8" s="23"/>
      <c r="E8" s="23"/>
      <c r="F8" s="23"/>
      <c r="G8" s="23"/>
      <c r="H8" s="23"/>
      <c r="I8" s="23"/>
      <c r="J8" s="23"/>
      <c r="K8" s="23"/>
      <c r="L8" s="24"/>
      <c r="N8" t="s">
        <v>73</v>
      </c>
    </row>
    <row r="9" spans="2:14" x14ac:dyDescent="0.25">
      <c r="B9" s="22" t="s">
        <v>100</v>
      </c>
      <c r="C9" s="23"/>
      <c r="D9" s="33">
        <f>Model!AR26</f>
        <v>7793</v>
      </c>
      <c r="E9" s="33">
        <f>Model!AS26</f>
        <v>8114</v>
      </c>
      <c r="F9" s="33">
        <f>Model!AT26</f>
        <v>9285</v>
      </c>
      <c r="G9" s="33">
        <f>Model!AU26</f>
        <v>9527.0386553571298</v>
      </c>
      <c r="H9" s="33">
        <f>Model!AV26</f>
        <v>9455.7150804946577</v>
      </c>
      <c r="I9" s="33">
        <f>Model!AW26</f>
        <v>9644.8293821045518</v>
      </c>
      <c r="J9" s="33">
        <f>Model!AX26</f>
        <v>9837.7259697466397</v>
      </c>
      <c r="K9" s="33">
        <f>Model!AY26</f>
        <v>10034.480489141573</v>
      </c>
      <c r="L9" s="24"/>
      <c r="N9" t="s">
        <v>106</v>
      </c>
    </row>
    <row r="10" spans="2:14" x14ac:dyDescent="0.25">
      <c r="B10" s="25" t="s">
        <v>101</v>
      </c>
      <c r="C10" s="23"/>
      <c r="D10" s="34">
        <f>D9/D$6</f>
        <v>3.4337354706240032E-2</v>
      </c>
      <c r="E10" s="34">
        <f t="shared" ref="E10:K10" si="1">E9/E6</f>
        <v>3.3488794419910026E-2</v>
      </c>
      <c r="F10" s="34">
        <f t="shared" si="1"/>
        <v>3.6490039417888566E-2</v>
      </c>
      <c r="G10" s="34">
        <f t="shared" si="1"/>
        <v>3.6350729182126909E-2</v>
      </c>
      <c r="H10" s="34">
        <f t="shared" si="1"/>
        <v>3.5027758968487754E-2</v>
      </c>
      <c r="I10" s="34">
        <f t="shared" si="1"/>
        <v>3.5027758968487754E-2</v>
      </c>
      <c r="J10" s="34">
        <f t="shared" si="1"/>
        <v>3.5027758968487747E-2</v>
      </c>
      <c r="K10" s="34">
        <f t="shared" si="1"/>
        <v>3.5027758968487747E-2</v>
      </c>
      <c r="L10" s="24"/>
    </row>
    <row r="11" spans="2:14" x14ac:dyDescent="0.25">
      <c r="B11" s="25" t="s">
        <v>99</v>
      </c>
      <c r="C11" s="23"/>
      <c r="D11" s="23"/>
      <c r="E11" s="34">
        <f>(E9-D9)/E9</f>
        <v>3.9561252156766084E-2</v>
      </c>
      <c r="F11" s="34">
        <f t="shared" ref="F11:K11" si="2">(F9-E9)/F9</f>
        <v>0.12611739364566504</v>
      </c>
      <c r="G11" s="34">
        <f t="shared" si="2"/>
        <v>2.5405444872529145E-2</v>
      </c>
      <c r="H11" s="34">
        <f t="shared" si="2"/>
        <v>-7.5429065126548693E-3</v>
      </c>
      <c r="I11" s="34">
        <f t="shared" si="2"/>
        <v>1.9607843137254992E-2</v>
      </c>
      <c r="J11" s="34">
        <f t="shared" si="2"/>
        <v>1.9607843137254596E-2</v>
      </c>
      <c r="K11" s="34">
        <f t="shared" si="2"/>
        <v>1.9607843137254981E-2</v>
      </c>
      <c r="L11" s="24"/>
      <c r="N11" t="s">
        <v>107</v>
      </c>
    </row>
    <row r="12" spans="2:14" x14ac:dyDescent="0.25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4"/>
      <c r="N12" t="s">
        <v>108</v>
      </c>
    </row>
    <row r="13" spans="2:14" x14ac:dyDescent="0.25">
      <c r="B13" s="22" t="s">
        <v>50</v>
      </c>
      <c r="C13" s="23"/>
      <c r="D13" s="33">
        <f>Model!AR30</f>
        <v>5844</v>
      </c>
      <c r="E13" s="33">
        <f>Model!AS30</f>
        <v>6292</v>
      </c>
      <c r="F13" s="33">
        <f>Model!AT30</f>
        <v>7367</v>
      </c>
      <c r="G13" s="33">
        <f>Model!AU30</f>
        <v>7277.7092651602352</v>
      </c>
      <c r="H13" s="33">
        <f>Model!AV30</f>
        <v>7237.7081504294983</v>
      </c>
      <c r="I13" s="33">
        <f>Model!AW30</f>
        <v>7380.7661549034474</v>
      </c>
      <c r="J13" s="33">
        <f>Model!AX30</f>
        <v>7526.6853194668738</v>
      </c>
      <c r="K13" s="33">
        <f>Model!AY30</f>
        <v>7675.5228673215715</v>
      </c>
      <c r="L13" s="24"/>
      <c r="N13" t="s">
        <v>109</v>
      </c>
    </row>
    <row r="14" spans="2:14" x14ac:dyDescent="0.25">
      <c r="B14" s="25" t="s">
        <v>101</v>
      </c>
      <c r="C14" s="23"/>
      <c r="D14" s="34">
        <f>D13/D$6</f>
        <v>2.5749711395260715E-2</v>
      </c>
      <c r="E14" s="34">
        <f t="shared" ref="E14:K14" si="3">E13/E$6</f>
        <v>2.5968880267448098E-2</v>
      </c>
      <c r="F14" s="34">
        <f t="shared" si="3"/>
        <v>2.8952301603832536E-2</v>
      </c>
      <c r="G14" s="34">
        <f t="shared" si="3"/>
        <v>2.7768338949200853E-2</v>
      </c>
      <c r="H14" s="34">
        <f t="shared" si="3"/>
        <v>2.6811372214510649E-2</v>
      </c>
      <c r="I14" s="34">
        <f t="shared" si="3"/>
        <v>2.6805212164397785E-2</v>
      </c>
      <c r="J14" s="34">
        <f t="shared" si="3"/>
        <v>2.6799172899581253E-2</v>
      </c>
      <c r="K14" s="34">
        <f t="shared" si="3"/>
        <v>2.6793252051721912E-2</v>
      </c>
      <c r="L14" s="24"/>
    </row>
    <row r="15" spans="2:14" x14ac:dyDescent="0.25">
      <c r="B15" s="25" t="s">
        <v>99</v>
      </c>
      <c r="C15" s="23"/>
      <c r="D15" s="23"/>
      <c r="E15" s="34">
        <f>(E13-D13)/E13</f>
        <v>7.1201525746980299E-2</v>
      </c>
      <c r="F15" s="34">
        <f t="shared" ref="F15:K15" si="4">(F13-E13)/F13</f>
        <v>0.14592099904981676</v>
      </c>
      <c r="G15" s="34">
        <f t="shared" si="4"/>
        <v>-1.2269071432575133E-2</v>
      </c>
      <c r="H15" s="34">
        <f t="shared" si="4"/>
        <v>-5.5267653654096438E-3</v>
      </c>
      <c r="I15" s="34">
        <f t="shared" si="4"/>
        <v>1.9382541252700138E-2</v>
      </c>
      <c r="J15" s="34">
        <f t="shared" si="4"/>
        <v>1.9386909159869341E-2</v>
      </c>
      <c r="K15" s="34">
        <f t="shared" si="4"/>
        <v>1.9391193333339083E-2</v>
      </c>
      <c r="L15" s="24"/>
    </row>
    <row r="16" spans="2:14" x14ac:dyDescent="0.25"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8"/>
    </row>
    <row r="17" spans="2:12" x14ac:dyDescent="0.2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5">
      <c r="B18" s="49" t="s">
        <v>153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5">
      <c r="B19" s="50" t="s">
        <v>146</v>
      </c>
      <c r="C19" s="51"/>
    </row>
    <row r="20" spans="2:12" x14ac:dyDescent="0.25">
      <c r="B20" s="50" t="s">
        <v>147</v>
      </c>
      <c r="C20" s="51"/>
    </row>
    <row r="21" spans="2:12" x14ac:dyDescent="0.25">
      <c r="B21" s="50" t="s">
        <v>148</v>
      </c>
      <c r="C21" s="51"/>
    </row>
    <row r="22" spans="2:12" x14ac:dyDescent="0.25">
      <c r="B22" s="50" t="s">
        <v>149</v>
      </c>
      <c r="C22" s="51"/>
    </row>
    <row r="23" spans="2:12" x14ac:dyDescent="0.25">
      <c r="B23" s="50" t="s">
        <v>150</v>
      </c>
      <c r="C23" s="51"/>
    </row>
    <row r="24" spans="2:12" x14ac:dyDescent="0.25">
      <c r="B24" s="50" t="s">
        <v>151</v>
      </c>
      <c r="C24" s="51"/>
    </row>
    <row r="25" spans="2:12" x14ac:dyDescent="0.25">
      <c r="B25" s="50" t="s">
        <v>152</v>
      </c>
      <c r="C25" s="51"/>
    </row>
  </sheetData>
  <mergeCells count="1">
    <mergeCell ref="G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9679-7F0F-453B-8EAE-923FB9C3D513}">
  <dimension ref="B5:B21"/>
  <sheetViews>
    <sheetView workbookViewId="0">
      <selection activeCell="A10" sqref="A10:XFD11"/>
    </sheetView>
  </sheetViews>
  <sheetFormatPr defaultRowHeight="15" x14ac:dyDescent="0.25"/>
  <sheetData>
    <row r="5" spans="2:2" x14ac:dyDescent="0.25">
      <c r="B5" t="s">
        <v>154</v>
      </c>
    </row>
    <row r="6" spans="2:2" x14ac:dyDescent="0.25">
      <c r="B6" t="s">
        <v>155</v>
      </c>
    </row>
    <row r="7" spans="2:2" x14ac:dyDescent="0.25">
      <c r="B7" t="s">
        <v>157</v>
      </c>
    </row>
    <row r="8" spans="2:2" x14ac:dyDescent="0.25">
      <c r="B8" t="s">
        <v>156</v>
      </c>
    </row>
    <row r="10" spans="2:2" x14ac:dyDescent="0.25">
      <c r="B10" t="s">
        <v>159</v>
      </c>
    </row>
    <row r="11" spans="2:2" x14ac:dyDescent="0.25">
      <c r="B11" t="s">
        <v>158</v>
      </c>
    </row>
    <row r="13" spans="2:2" x14ac:dyDescent="0.25">
      <c r="B13" t="s">
        <v>160</v>
      </c>
    </row>
    <row r="14" spans="2:2" x14ac:dyDescent="0.25">
      <c r="B14" t="s">
        <v>161</v>
      </c>
    </row>
    <row r="15" spans="2:2" x14ac:dyDescent="0.25">
      <c r="B15" t="s">
        <v>162</v>
      </c>
    </row>
    <row r="17" spans="2:2" x14ac:dyDescent="0.25">
      <c r="B17" t="s">
        <v>163</v>
      </c>
    </row>
    <row r="18" spans="2:2" x14ac:dyDescent="0.25">
      <c r="B18" t="s">
        <v>164</v>
      </c>
    </row>
    <row r="19" spans="2:2" x14ac:dyDescent="0.25">
      <c r="B19" t="s">
        <v>165</v>
      </c>
    </row>
    <row r="20" spans="2:2" x14ac:dyDescent="0.25">
      <c r="B20" t="s">
        <v>166</v>
      </c>
    </row>
    <row r="21" spans="2:2" x14ac:dyDescent="0.25">
      <c r="B2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0369-8A51-4EA8-843B-F23C28D6A4AB}">
  <dimension ref="B3:C18"/>
  <sheetViews>
    <sheetView workbookViewId="0">
      <selection activeCell="C19" sqref="C19"/>
    </sheetView>
  </sheetViews>
  <sheetFormatPr defaultRowHeight="15" x14ac:dyDescent="0.25"/>
  <cols>
    <col min="2" max="2" width="26.7109375" customWidth="1"/>
    <col min="3" max="3" width="10.7109375" customWidth="1"/>
  </cols>
  <sheetData>
    <row r="3" spans="2:3" x14ac:dyDescent="0.25">
      <c r="B3" t="s">
        <v>110</v>
      </c>
    </row>
    <row r="4" spans="2:3" x14ac:dyDescent="0.25">
      <c r="B4" t="s">
        <v>73</v>
      </c>
    </row>
    <row r="6" spans="2:3" x14ac:dyDescent="0.25">
      <c r="B6" t="s">
        <v>111</v>
      </c>
    </row>
    <row r="7" spans="2:3" x14ac:dyDescent="0.25">
      <c r="B7" t="s">
        <v>60</v>
      </c>
    </row>
    <row r="8" spans="2:3" x14ac:dyDescent="0.25">
      <c r="B8" t="s">
        <v>112</v>
      </c>
    </row>
    <row r="9" spans="2:3" x14ac:dyDescent="0.25">
      <c r="B9" s="35" t="s">
        <v>113</v>
      </c>
      <c r="C9" s="29"/>
    </row>
    <row r="11" spans="2:3" x14ac:dyDescent="0.25">
      <c r="B11" t="s">
        <v>114</v>
      </c>
    </row>
    <row r="12" spans="2:3" x14ac:dyDescent="0.25">
      <c r="B12" t="s">
        <v>115</v>
      </c>
    </row>
    <row r="13" spans="2:3" x14ac:dyDescent="0.25">
      <c r="B13" t="s">
        <v>116</v>
      </c>
    </row>
    <row r="14" spans="2:3" x14ac:dyDescent="0.25">
      <c r="B14" t="s">
        <v>117</v>
      </c>
    </row>
    <row r="15" spans="2:3" x14ac:dyDescent="0.25">
      <c r="B15" t="s">
        <v>118</v>
      </c>
    </row>
    <row r="16" spans="2:3" x14ac:dyDescent="0.25">
      <c r="B16" s="35" t="s">
        <v>119</v>
      </c>
      <c r="C16" s="29"/>
    </row>
    <row r="17" spans="2:3" x14ac:dyDescent="0.25">
      <c r="B17" s="7"/>
    </row>
    <row r="18" spans="2:3" x14ac:dyDescent="0.25">
      <c r="B18" s="35" t="s">
        <v>120</v>
      </c>
      <c r="C18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3F8E-D43E-40C0-B774-41DE5CFD8E0F}">
  <dimension ref="B3:V23"/>
  <sheetViews>
    <sheetView workbookViewId="0">
      <selection activeCell="Q2" sqref="Q2"/>
    </sheetView>
  </sheetViews>
  <sheetFormatPr defaultRowHeight="15" x14ac:dyDescent="0.25"/>
  <sheetData>
    <row r="3" spans="2:22" x14ac:dyDescent="0.25">
      <c r="B3" t="s">
        <v>121</v>
      </c>
    </row>
    <row r="4" spans="2:22" x14ac:dyDescent="0.25">
      <c r="B4" t="s">
        <v>122</v>
      </c>
      <c r="F4">
        <v>2013</v>
      </c>
      <c r="G4">
        <v>2014</v>
      </c>
      <c r="H4">
        <v>2015</v>
      </c>
      <c r="I4">
        <v>2016</v>
      </c>
      <c r="J4">
        <v>2017</v>
      </c>
      <c r="K4">
        <v>2018</v>
      </c>
      <c r="L4">
        <v>2019</v>
      </c>
      <c r="M4">
        <v>2020</v>
      </c>
      <c r="N4">
        <v>2021</v>
      </c>
      <c r="O4">
        <v>2022</v>
      </c>
      <c r="P4">
        <v>2023</v>
      </c>
      <c r="Q4" s="36" t="s">
        <v>123</v>
      </c>
      <c r="R4" s="36" t="s">
        <v>124</v>
      </c>
      <c r="S4" s="36" t="s">
        <v>125</v>
      </c>
      <c r="T4" s="36" t="s">
        <v>126</v>
      </c>
      <c r="U4" s="36" t="s">
        <v>127</v>
      </c>
      <c r="V4" s="36" t="s">
        <v>128</v>
      </c>
    </row>
    <row r="5" spans="2:22" x14ac:dyDescent="0.25">
      <c r="B5" t="s">
        <v>129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>
        <f>[1]Model!AR76</f>
        <v>0</v>
      </c>
      <c r="R5" s="6">
        <f>[1]Model!AS76</f>
        <v>0</v>
      </c>
      <c r="S5" s="6">
        <f>[1]Model!AT76</f>
        <v>0</v>
      </c>
      <c r="T5" s="6">
        <f>[1]Model!AU76</f>
        <v>0</v>
      </c>
      <c r="U5" s="6">
        <f>[1]Model!AV76</f>
        <v>0</v>
      </c>
      <c r="V5" s="6">
        <f>[1]Model!AW76</f>
        <v>0</v>
      </c>
    </row>
    <row r="7" spans="2:22" x14ac:dyDescent="0.25">
      <c r="B7" t="s">
        <v>130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</row>
    <row r="8" spans="2:22" x14ac:dyDescent="0.25">
      <c r="B8" s="35" t="s">
        <v>131</v>
      </c>
      <c r="C8" s="29"/>
      <c r="D8" s="29"/>
      <c r="E8" s="29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8"/>
      <c r="R8" s="38"/>
      <c r="S8" s="38"/>
      <c r="T8" s="38"/>
      <c r="U8" s="38"/>
      <c r="V8" s="38"/>
    </row>
    <row r="10" spans="2:22" x14ac:dyDescent="0.25">
      <c r="B10" s="39" t="s">
        <v>132</v>
      </c>
      <c r="C10" s="39"/>
      <c r="D10" s="39"/>
      <c r="E10" s="39"/>
      <c r="I10" s="39" t="s">
        <v>133</v>
      </c>
      <c r="J10" s="39"/>
      <c r="K10" s="39"/>
      <c r="L10" s="39"/>
      <c r="M10" s="39"/>
      <c r="N10" s="39"/>
      <c r="O10" s="39"/>
    </row>
    <row r="11" spans="2:22" x14ac:dyDescent="0.25">
      <c r="B11" t="s">
        <v>134</v>
      </c>
      <c r="E11" s="40">
        <f>[1]Overview!J8/[1]Model!AQ30</f>
        <v>3548.8341935483868</v>
      </c>
    </row>
    <row r="12" spans="2:22" x14ac:dyDescent="0.25">
      <c r="B12" t="s">
        <v>135</v>
      </c>
      <c r="K12" s="39" t="s">
        <v>136</v>
      </c>
      <c r="L12" s="39"/>
      <c r="M12" s="39"/>
      <c r="N12" s="39"/>
      <c r="O12" s="39"/>
    </row>
    <row r="13" spans="2:22" x14ac:dyDescent="0.25">
      <c r="B13" t="s">
        <v>137</v>
      </c>
      <c r="E13" s="41">
        <v>0.10059999999999999</v>
      </c>
      <c r="K13" s="42">
        <f>+L13-0.005</f>
        <v>9.0599999999999986E-2</v>
      </c>
      <c r="L13" s="42">
        <f>+M13-0.005</f>
        <v>9.5599999999999991E-2</v>
      </c>
      <c r="M13" s="42">
        <f>E13</f>
        <v>0.10059999999999999</v>
      </c>
      <c r="N13" s="42">
        <f>+M13+0.005</f>
        <v>0.1056</v>
      </c>
      <c r="O13" s="42">
        <f>+N13+0.005</f>
        <v>0.1106</v>
      </c>
    </row>
    <row r="14" spans="2:22" x14ac:dyDescent="0.25">
      <c r="B14" t="s">
        <v>120</v>
      </c>
      <c r="E14" s="41">
        <f>[1]WACC!C18</f>
        <v>6.7869952248210394E-2</v>
      </c>
      <c r="I14" s="43" t="s">
        <v>120</v>
      </c>
      <c r="J14" s="42">
        <f>+J15-0.005</f>
        <v>6.0400000000000002E-2</v>
      </c>
    </row>
    <row r="15" spans="2:22" x14ac:dyDescent="0.25">
      <c r="B15" t="s">
        <v>138</v>
      </c>
      <c r="E15" s="40">
        <f>(P5*1.05)/([1]Model!BF42-1.05)</f>
        <v>0</v>
      </c>
      <c r="I15" s="43"/>
      <c r="J15" s="42">
        <f>+J16-0.005</f>
        <v>6.54E-2</v>
      </c>
      <c r="L15" s="44"/>
      <c r="M15" s="44"/>
      <c r="N15" s="44"/>
    </row>
    <row r="16" spans="2:22" x14ac:dyDescent="0.25">
      <c r="B16" t="s">
        <v>139</v>
      </c>
      <c r="E16" s="6">
        <f>+E15/((1.08)^$E$14)</f>
        <v>0</v>
      </c>
      <c r="I16" s="43"/>
      <c r="J16" s="42">
        <v>7.0400000000000004E-2</v>
      </c>
      <c r="L16" s="44"/>
      <c r="M16" s="45"/>
      <c r="N16" s="44"/>
    </row>
    <row r="17" spans="2:14" x14ac:dyDescent="0.25">
      <c r="B17" t="s">
        <v>140</v>
      </c>
      <c r="E17" s="6">
        <f>[1]Overview!J8</f>
        <v>110013.85999999999</v>
      </c>
      <c r="I17" s="43"/>
      <c r="J17" s="42">
        <f>+J16+0.005</f>
        <v>7.5400000000000009E-2</v>
      </c>
      <c r="L17" s="44"/>
      <c r="M17" s="44"/>
      <c r="N17" s="44"/>
    </row>
    <row r="18" spans="2:14" x14ac:dyDescent="0.25">
      <c r="B18" t="s">
        <v>141</v>
      </c>
      <c r="E18" s="46">
        <f>[1]Model!AQ45</f>
        <v>-16115</v>
      </c>
      <c r="I18" s="43"/>
      <c r="J18" s="42">
        <f>+J17+0.005</f>
        <v>8.0400000000000013E-2</v>
      </c>
    </row>
    <row r="19" spans="2:14" x14ac:dyDescent="0.25">
      <c r="B19" t="s">
        <v>142</v>
      </c>
      <c r="E19" s="40">
        <f>[1]Model!AQ55</f>
        <v>46978</v>
      </c>
    </row>
    <row r="20" spans="2:14" x14ac:dyDescent="0.25">
      <c r="B20" t="s">
        <v>143</v>
      </c>
    </row>
    <row r="21" spans="2:14" x14ac:dyDescent="0.25">
      <c r="B21" s="35" t="s">
        <v>144</v>
      </c>
      <c r="C21" s="29"/>
      <c r="D21" s="29"/>
      <c r="E21" s="35"/>
    </row>
    <row r="22" spans="2:14" x14ac:dyDescent="0.25">
      <c r="B22" s="7" t="s">
        <v>145</v>
      </c>
      <c r="E22" s="8">
        <f>[1]Overview!J4</f>
        <v>4267</v>
      </c>
    </row>
    <row r="23" spans="2:14" x14ac:dyDescent="0.25">
      <c r="B23" s="47" t="s">
        <v>132</v>
      </c>
      <c r="C23" s="48"/>
      <c r="D23" s="48"/>
      <c r="E23" s="47"/>
    </row>
  </sheetData>
  <mergeCells count="4">
    <mergeCell ref="B10:E10"/>
    <mergeCell ref="I10:O10"/>
    <mergeCell ref="K12:O12"/>
    <mergeCell ref="I14:I1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AA3A-02B2-4DD7-BD5A-7D1742AFEDAB}">
  <dimension ref="B2:BE87"/>
  <sheetViews>
    <sheetView tabSelected="1" zoomScaleNormal="100" workbookViewId="0">
      <pane xSplit="2" ySplit="3" topLeftCell="W28" activePane="bottomRight" state="frozen"/>
      <selection pane="topRight" activeCell="C1" sqref="C1"/>
      <selection pane="bottomLeft" activeCell="A4" sqref="A4"/>
      <selection pane="bottomRight" activeCell="AI41" sqref="AI41"/>
    </sheetView>
  </sheetViews>
  <sheetFormatPr defaultRowHeight="15" x14ac:dyDescent="0.25"/>
  <cols>
    <col min="1" max="1" width="4.85546875" customWidth="1"/>
    <col min="2" max="2" width="19.85546875" bestFit="1" customWidth="1"/>
    <col min="22" max="22" width="11.140625" bestFit="1" customWidth="1"/>
    <col min="23" max="23" width="10" bestFit="1" customWidth="1"/>
    <col min="25" max="25" width="9.42578125" bestFit="1" customWidth="1"/>
    <col min="26" max="26" width="10.42578125" bestFit="1" customWidth="1"/>
    <col min="27" max="27" width="10" bestFit="1" customWidth="1"/>
    <col min="29" max="29" width="10" bestFit="1" customWidth="1"/>
    <col min="30" max="30" width="11.140625" bestFit="1" customWidth="1"/>
    <col min="44" max="44" width="9.140625" customWidth="1"/>
  </cols>
  <sheetData>
    <row r="2" spans="2:57" s="1" customFormat="1" x14ac:dyDescent="0.25">
      <c r="B2" s="16" t="s">
        <v>28</v>
      </c>
      <c r="C2" s="1">
        <v>43429</v>
      </c>
      <c r="D2" s="1">
        <v>43513</v>
      </c>
      <c r="E2" s="1">
        <v>43567</v>
      </c>
      <c r="F2" s="1">
        <v>43709</v>
      </c>
      <c r="G2" s="1">
        <v>43793</v>
      </c>
      <c r="H2" s="1">
        <v>43877</v>
      </c>
      <c r="I2" s="1">
        <v>43931</v>
      </c>
      <c r="J2" s="1">
        <v>44074</v>
      </c>
      <c r="K2" s="1">
        <v>44157</v>
      </c>
      <c r="L2" s="1">
        <v>44241</v>
      </c>
      <c r="M2" s="1">
        <v>44295</v>
      </c>
      <c r="N2" s="1">
        <v>44437</v>
      </c>
      <c r="O2" s="1">
        <v>44521</v>
      </c>
      <c r="P2" s="1">
        <v>44605</v>
      </c>
      <c r="Q2" s="1">
        <v>44658</v>
      </c>
      <c r="R2" s="1">
        <v>44801</v>
      </c>
      <c r="S2" s="1">
        <v>44885</v>
      </c>
      <c r="T2" s="1">
        <v>44969</v>
      </c>
      <c r="U2" s="1">
        <v>45024</v>
      </c>
      <c r="V2" s="1">
        <v>45172</v>
      </c>
      <c r="W2" s="1">
        <v>45256</v>
      </c>
      <c r="X2" s="1">
        <v>45340</v>
      </c>
      <c r="Y2" s="1">
        <v>45394</v>
      </c>
      <c r="Z2" s="1">
        <v>45536</v>
      </c>
      <c r="AH2" s="1">
        <v>41154</v>
      </c>
      <c r="AI2" s="1">
        <v>41518</v>
      </c>
      <c r="AJ2" s="1">
        <v>41882</v>
      </c>
      <c r="AK2" s="1">
        <v>42246</v>
      </c>
      <c r="AL2" s="1">
        <v>42610</v>
      </c>
      <c r="AM2" s="1">
        <v>42981</v>
      </c>
      <c r="AN2" s="1">
        <v>43345</v>
      </c>
      <c r="AO2" s="1">
        <v>43709</v>
      </c>
      <c r="AP2" s="1">
        <v>44073</v>
      </c>
      <c r="AQ2" s="1">
        <v>44437</v>
      </c>
      <c r="AR2" s="1">
        <v>44801</v>
      </c>
      <c r="AS2" s="1">
        <v>45172</v>
      </c>
      <c r="AT2" s="1">
        <v>45536</v>
      </c>
      <c r="AU2" s="1">
        <v>45901</v>
      </c>
      <c r="AV2" s="1">
        <v>46266</v>
      </c>
      <c r="AW2" s="1">
        <v>46631</v>
      </c>
      <c r="AX2" s="1">
        <v>46997</v>
      </c>
      <c r="AY2" s="1">
        <v>47362</v>
      </c>
      <c r="AZ2" s="1">
        <v>47727</v>
      </c>
      <c r="BA2" s="1">
        <v>48092</v>
      </c>
      <c r="BB2" s="1">
        <v>48458</v>
      </c>
      <c r="BC2" s="1">
        <v>48823</v>
      </c>
      <c r="BD2" s="1">
        <v>49188</v>
      </c>
      <c r="BE2" s="1">
        <v>49553</v>
      </c>
    </row>
    <row r="3" spans="2:57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H3">
        <v>2012</v>
      </c>
      <c r="AI3">
        <v>2013</v>
      </c>
      <c r="AJ3">
        <v>2014</v>
      </c>
      <c r="AK3">
        <v>2015</v>
      </c>
      <c r="AL3">
        <v>2016</v>
      </c>
      <c r="AM3">
        <v>2017</v>
      </c>
      <c r="AN3">
        <v>2018</v>
      </c>
      <c r="AO3">
        <v>2019</v>
      </c>
      <c r="AP3">
        <v>2020</v>
      </c>
      <c r="AQ3">
        <v>2021</v>
      </c>
      <c r="AR3">
        <v>2022</v>
      </c>
      <c r="AS3">
        <v>2023</v>
      </c>
      <c r="AT3">
        <v>2024</v>
      </c>
      <c r="AU3">
        <v>2025</v>
      </c>
      <c r="AV3">
        <v>2026</v>
      </c>
      <c r="AW3">
        <v>2027</v>
      </c>
      <c r="AX3">
        <v>2028</v>
      </c>
      <c r="AY3">
        <v>2029</v>
      </c>
      <c r="AZ3">
        <v>2030</v>
      </c>
      <c r="BA3">
        <v>2031</v>
      </c>
      <c r="BB3">
        <v>2032</v>
      </c>
      <c r="BC3">
        <v>2033</v>
      </c>
      <c r="BD3">
        <v>2034</v>
      </c>
      <c r="BE3">
        <v>2035</v>
      </c>
    </row>
    <row r="5" spans="2:57" x14ac:dyDescent="0.25">
      <c r="B5" t="s">
        <v>29</v>
      </c>
      <c r="AH5" s="13">
        <f>SUM(AH6:AH8)</f>
        <v>608</v>
      </c>
      <c r="AI5" s="13">
        <f t="shared" ref="AI5:AR5" si="0">SUM(AI6:AI8)</f>
        <v>634</v>
      </c>
      <c r="AJ5" s="13">
        <f t="shared" si="0"/>
        <v>663</v>
      </c>
      <c r="AK5" s="13">
        <f t="shared" si="0"/>
        <v>686</v>
      </c>
      <c r="AL5" s="13">
        <f t="shared" si="0"/>
        <v>715</v>
      </c>
      <c r="AM5" s="13">
        <f t="shared" si="0"/>
        <v>741</v>
      </c>
      <c r="AN5" s="13">
        <f t="shared" si="0"/>
        <v>762</v>
      </c>
      <c r="AO5" s="13">
        <f t="shared" si="0"/>
        <v>782</v>
      </c>
      <c r="AP5" s="13">
        <f t="shared" si="0"/>
        <v>795</v>
      </c>
      <c r="AQ5" s="13">
        <f t="shared" si="0"/>
        <v>815</v>
      </c>
      <c r="AR5" s="13">
        <f t="shared" si="0"/>
        <v>838</v>
      </c>
      <c r="AS5" s="13">
        <f>SUM(AS6:AS8)</f>
        <v>861</v>
      </c>
      <c r="AT5" s="13">
        <f>SUM(AT6:AT8)</f>
        <v>890</v>
      </c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2:57" x14ac:dyDescent="0.25">
      <c r="B6" s="3" t="s">
        <v>30</v>
      </c>
      <c r="AH6" s="6">
        <v>439</v>
      </c>
      <c r="AI6" s="6">
        <v>451</v>
      </c>
      <c r="AJ6" s="6">
        <v>468</v>
      </c>
      <c r="AK6" s="6">
        <v>480</v>
      </c>
      <c r="AL6" s="6">
        <v>501</v>
      </c>
      <c r="AM6" s="6">
        <v>514</v>
      </c>
      <c r="AN6" s="6">
        <v>527</v>
      </c>
      <c r="AO6" s="6">
        <v>543</v>
      </c>
      <c r="AP6" s="6">
        <v>552</v>
      </c>
      <c r="AQ6" s="6">
        <v>564</v>
      </c>
      <c r="AR6" s="6">
        <v>578</v>
      </c>
      <c r="AS6" s="6">
        <v>591</v>
      </c>
      <c r="AT6" s="6">
        <v>614</v>
      </c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2:57" x14ac:dyDescent="0.25">
      <c r="B7" s="3" t="s">
        <v>31</v>
      </c>
      <c r="AH7" s="6">
        <v>82</v>
      </c>
      <c r="AI7" s="6">
        <v>85</v>
      </c>
      <c r="AJ7" s="6">
        <v>88</v>
      </c>
      <c r="AK7" s="6">
        <v>89</v>
      </c>
      <c r="AL7" s="6">
        <v>91</v>
      </c>
      <c r="AM7" s="6">
        <v>97</v>
      </c>
      <c r="AN7" s="6">
        <v>100</v>
      </c>
      <c r="AO7" s="6">
        <v>100</v>
      </c>
      <c r="AP7" s="6">
        <v>101</v>
      </c>
      <c r="AQ7" s="6">
        <v>105</v>
      </c>
      <c r="AR7" s="6">
        <v>107</v>
      </c>
      <c r="AS7" s="6">
        <v>107</v>
      </c>
      <c r="AT7" s="6">
        <v>108</v>
      </c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2:57" x14ac:dyDescent="0.25">
      <c r="B8" s="3" t="s">
        <v>32</v>
      </c>
      <c r="AH8" s="6">
        <f>32+22+13+9+8+3</f>
        <v>87</v>
      </c>
      <c r="AI8" s="6">
        <f>33+25+18+10+9+3</f>
        <v>98</v>
      </c>
      <c r="AJ8" s="6">
        <f>33+26+20+11+10+6+1</f>
        <v>107</v>
      </c>
      <c r="AK8" s="6">
        <f>36+27+23+12+11+7+1</f>
        <v>117</v>
      </c>
      <c r="AL8" s="6">
        <f>36+28+25+12+12+8+2</f>
        <v>123</v>
      </c>
      <c r="AM8" s="6">
        <f>37+28+26+13+13+9+2+1+1</f>
        <v>130</v>
      </c>
      <c r="AN8" s="6">
        <f>39+28+26+15+13+10+2+1+1</f>
        <v>135</v>
      </c>
      <c r="AO8" s="6">
        <f>39+29+26+16+13+11+2+1+1+1</f>
        <v>139</v>
      </c>
      <c r="AP8" s="6">
        <v>142</v>
      </c>
      <c r="AQ8" s="6">
        <v>146</v>
      </c>
      <c r="AR8" s="6">
        <v>153</v>
      </c>
      <c r="AS8" s="6">
        <v>163</v>
      </c>
      <c r="AT8" s="6">
        <v>168</v>
      </c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2:57" x14ac:dyDescent="0.25"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2:57" s="6" customFormat="1" x14ac:dyDescent="0.25">
      <c r="B10" s="9" t="s">
        <v>35</v>
      </c>
      <c r="C10" s="6">
        <v>13641</v>
      </c>
      <c r="D10" s="6">
        <v>13966</v>
      </c>
      <c r="E10" s="6">
        <v>13524</v>
      </c>
      <c r="F10" s="6">
        <f>AO10-C10-D10-E10</f>
        <v>18541</v>
      </c>
      <c r="G10" s="6">
        <v>14532</v>
      </c>
      <c r="H10" s="6">
        <v>14984</v>
      </c>
      <c r="I10" s="6">
        <v>16897</v>
      </c>
      <c r="J10" s="6">
        <f>AP10-G10-H10-I10</f>
        <v>22246</v>
      </c>
      <c r="K10" s="6">
        <v>18019</v>
      </c>
      <c r="L10" s="6">
        <v>17624</v>
      </c>
      <c r="M10" s="6">
        <v>17551</v>
      </c>
      <c r="N10" s="6">
        <f>AQ10-K10-L10-M10</f>
        <v>24083</v>
      </c>
      <c r="O10" s="6">
        <v>19563</v>
      </c>
      <c r="P10" s="6">
        <v>19489</v>
      </c>
      <c r="Q10" s="6">
        <v>19594</v>
      </c>
      <c r="R10" s="6">
        <f>AR10-O10-P10-Q10</f>
        <v>26983</v>
      </c>
      <c r="S10" s="6">
        <v>21448</v>
      </c>
      <c r="T10" s="6">
        <v>21926</v>
      </c>
      <c r="U10" s="6">
        <v>21298</v>
      </c>
      <c r="V10" s="6">
        <f>AS10-S10-T10-U10</f>
        <v>31503</v>
      </c>
      <c r="W10" s="6">
        <v>23024</v>
      </c>
      <c r="X10" s="6">
        <v>23675</v>
      </c>
      <c r="Y10" s="6">
        <v>23065</v>
      </c>
      <c r="Z10" s="6">
        <f>AT10-W10-X10-Y10</f>
        <v>31699</v>
      </c>
      <c r="AA10" s="6">
        <f>W10*1.03</f>
        <v>23714.720000000001</v>
      </c>
      <c r="AB10" s="6">
        <f t="shared" ref="AB10:AD13" si="1">X10*1.03</f>
        <v>24385.25</v>
      </c>
      <c r="AC10" s="6">
        <f t="shared" si="1"/>
        <v>23756.95</v>
      </c>
      <c r="AD10" s="6">
        <f>Z10*1.03</f>
        <v>32649.97</v>
      </c>
      <c r="AH10" s="6">
        <f>97062*(0.21+0.22)</f>
        <v>41736.659999999996</v>
      </c>
      <c r="AI10" s="6">
        <f>102870*(0.21+0.22)</f>
        <v>44234.1</v>
      </c>
      <c r="AJ10" s="6">
        <f>110212*(0.22+0.21)</f>
        <v>47391.159999999996</v>
      </c>
      <c r="AK10" s="6">
        <f>113666*(0.22+0.21)</f>
        <v>48876.38</v>
      </c>
      <c r="AL10" s="6">
        <f>116073*0.43</f>
        <v>49911.39</v>
      </c>
      <c r="AM10" s="6">
        <v>52362</v>
      </c>
      <c r="AN10" s="6">
        <v>56073</v>
      </c>
      <c r="AO10" s="6">
        <v>59672</v>
      </c>
      <c r="AP10" s="6">
        <v>68659</v>
      </c>
      <c r="AQ10" s="6">
        <v>77277</v>
      </c>
      <c r="AR10" s="6">
        <v>85629</v>
      </c>
      <c r="AS10" s="6">
        <v>96175</v>
      </c>
      <c r="AT10" s="6">
        <v>101463</v>
      </c>
      <c r="AU10" s="6">
        <f>SUM(AA10:AD10)</f>
        <v>104506.89</v>
      </c>
      <c r="AV10" s="6">
        <f>AU10*1.03</f>
        <v>107642.09670000001</v>
      </c>
      <c r="AW10" s="6">
        <f>AV10*1.02</f>
        <v>109794.93863400001</v>
      </c>
      <c r="AX10" s="6">
        <f t="shared" ref="AX10:BE10" si="2">AW10*1.02</f>
        <v>111990.83740668</v>
      </c>
      <c r="AY10" s="6">
        <f t="shared" si="2"/>
        <v>114230.6541548136</v>
      </c>
      <c r="AZ10" s="6">
        <f t="shared" si="2"/>
        <v>116515.26723790988</v>
      </c>
      <c r="BA10" s="6">
        <f t="shared" si="2"/>
        <v>118845.57258266809</v>
      </c>
      <c r="BB10" s="6">
        <f t="shared" si="2"/>
        <v>121222.48403432145</v>
      </c>
      <c r="BC10" s="6">
        <f t="shared" si="2"/>
        <v>123646.93371500788</v>
      </c>
      <c r="BD10" s="6">
        <f t="shared" si="2"/>
        <v>126119.87238930805</v>
      </c>
      <c r="BE10" s="6">
        <f t="shared" si="2"/>
        <v>128642.26983709421</v>
      </c>
    </row>
    <row r="11" spans="2:57" s="6" customFormat="1" x14ac:dyDescent="0.25">
      <c r="B11" s="9" t="s">
        <v>36</v>
      </c>
      <c r="C11" s="6">
        <f>5840+4123</f>
        <v>9963</v>
      </c>
      <c r="D11" s="6">
        <f>5770+4224</f>
        <v>9994</v>
      </c>
      <c r="E11" s="6">
        <f>5666+3413</f>
        <v>9079</v>
      </c>
      <c r="F11" s="6">
        <f>AO11-C11-D11-E11</f>
        <v>12124</v>
      </c>
      <c r="G11" s="6">
        <f>5843+4297</f>
        <v>10140</v>
      </c>
      <c r="H11" s="6">
        <f>6774+4504</f>
        <v>11278</v>
      </c>
      <c r="I11" s="6">
        <f>5891+2806</f>
        <v>8697</v>
      </c>
      <c r="J11" s="6">
        <f>AP11-G11-H11-I11</f>
        <v>14692</v>
      </c>
      <c r="K11" s="6">
        <v>12384</v>
      </c>
      <c r="L11" s="6">
        <v>13723</v>
      </c>
      <c r="M11" s="6">
        <v>12899</v>
      </c>
      <c r="N11" s="6">
        <f>AQ11-K11-L11-M11</f>
        <v>16960</v>
      </c>
      <c r="O11" s="6">
        <v>14162</v>
      </c>
      <c r="P11" s="6">
        <v>15105</v>
      </c>
      <c r="Q11" s="6">
        <v>13810</v>
      </c>
      <c r="R11" s="6">
        <f>AR11-O11-P11-Q11</f>
        <v>18023</v>
      </c>
      <c r="S11" s="6">
        <v>14032</v>
      </c>
      <c r="T11" s="6">
        <v>14741</v>
      </c>
      <c r="U11" s="6">
        <v>13087</v>
      </c>
      <c r="V11" s="6">
        <f>AS11-S11-T11-U11</f>
        <v>19005</v>
      </c>
      <c r="W11" s="6">
        <v>14766</v>
      </c>
      <c r="X11" s="6">
        <v>15017</v>
      </c>
      <c r="Y11" s="6">
        <v>14518</v>
      </c>
      <c r="Z11" s="6">
        <f>AT11-W11-X11-Y11</f>
        <v>19672</v>
      </c>
      <c r="AA11" s="6">
        <f t="shared" ref="AA11:AA13" si="3">W11*1.03</f>
        <v>15208.98</v>
      </c>
      <c r="AB11" s="6">
        <f t="shared" si="1"/>
        <v>15467.51</v>
      </c>
      <c r="AC11" s="6">
        <f t="shared" si="1"/>
        <v>14953.54</v>
      </c>
      <c r="AD11" s="6">
        <f>Z11*1.03</f>
        <v>20262.16</v>
      </c>
      <c r="AH11" s="6">
        <f>97062*(0.16+0.1)</f>
        <v>25236.120000000003</v>
      </c>
      <c r="AI11" s="6">
        <f>102870*(0.16+0.11)</f>
        <v>27774.9</v>
      </c>
      <c r="AJ11" s="6">
        <f>110212*(0.16+0.11)</f>
        <v>29757.24</v>
      </c>
      <c r="AK11" s="6">
        <f>113666*(0.16+0.11)</f>
        <v>30689.820000000003</v>
      </c>
      <c r="AL11" s="6">
        <f>116073*(0.16+0.12)</f>
        <v>32500.440000000002</v>
      </c>
      <c r="AM11" s="6">
        <f>20583+14537</f>
        <v>35120</v>
      </c>
      <c r="AN11" s="6">
        <f>22620+15387</f>
        <v>38007</v>
      </c>
      <c r="AO11" s="6">
        <v>41160</v>
      </c>
      <c r="AP11" s="6">
        <v>44807</v>
      </c>
      <c r="AQ11" s="6">
        <v>55966</v>
      </c>
      <c r="AR11" s="6">
        <v>61100</v>
      </c>
      <c r="AS11" s="6">
        <v>60865</v>
      </c>
      <c r="AT11" s="6">
        <v>63973</v>
      </c>
      <c r="AU11" s="6">
        <f t="shared" ref="AU11:AU13" si="4">SUM(AA11:AD11)</f>
        <v>65892.19</v>
      </c>
      <c r="AV11" s="6">
        <f t="shared" ref="AV11:AV13" si="5">AU11*1.03</f>
        <v>67868.955700000006</v>
      </c>
      <c r="AW11" s="6">
        <f t="shared" ref="AW11:BE13" si="6">AV11*1.02</f>
        <v>69226.334814000002</v>
      </c>
      <c r="AX11" s="6">
        <f t="shared" si="6"/>
        <v>70610.861510279996</v>
      </c>
      <c r="AY11" s="6">
        <f t="shared" si="6"/>
        <v>72023.078740485595</v>
      </c>
      <c r="AZ11" s="6">
        <f t="shared" si="6"/>
        <v>73463.540315295308</v>
      </c>
      <c r="BA11" s="6">
        <f t="shared" si="6"/>
        <v>74932.811121601218</v>
      </c>
      <c r="BB11" s="6">
        <f t="shared" si="6"/>
        <v>76431.467344033241</v>
      </c>
      <c r="BC11" s="6">
        <f t="shared" si="6"/>
        <v>77960.09669091391</v>
      </c>
      <c r="BD11" s="6">
        <f t="shared" si="6"/>
        <v>79519.298624732182</v>
      </c>
      <c r="BE11" s="6">
        <f t="shared" si="6"/>
        <v>81109.68459722682</v>
      </c>
    </row>
    <row r="12" spans="2:57" s="6" customFormat="1" x14ac:dyDescent="0.25">
      <c r="B12" s="9" t="s">
        <v>37</v>
      </c>
      <c r="C12" s="6">
        <v>4293</v>
      </c>
      <c r="D12" s="6">
        <v>4690</v>
      </c>
      <c r="E12" s="6">
        <v>4568</v>
      </c>
      <c r="F12" s="6">
        <f>AO12-C12-D12-E12</f>
        <v>6397</v>
      </c>
      <c r="G12" s="6">
        <v>4576</v>
      </c>
      <c r="H12" s="6">
        <v>5079</v>
      </c>
      <c r="I12" s="6">
        <v>5587</v>
      </c>
      <c r="J12" s="6">
        <f>AP12-G12-H12-I12</f>
        <v>7962</v>
      </c>
      <c r="K12" s="6">
        <v>5863</v>
      </c>
      <c r="L12" s="6">
        <v>6254</v>
      </c>
      <c r="M12" s="6">
        <v>6296</v>
      </c>
      <c r="N12" s="6">
        <f>AQ12-K12-L12-M12</f>
        <v>8770</v>
      </c>
      <c r="O12" s="6">
        <v>6439</v>
      </c>
      <c r="P12" s="6">
        <v>6959</v>
      </c>
      <c r="Q12" s="6">
        <v>6813</v>
      </c>
      <c r="R12" s="6">
        <f>AR12-O12-P12-Q12</f>
        <v>9316</v>
      </c>
      <c r="S12" s="6">
        <v>6717</v>
      </c>
      <c r="T12" s="6">
        <v>7376</v>
      </c>
      <c r="U12" s="6">
        <v>7194</v>
      </c>
      <c r="V12" s="6">
        <f>AS12-S12-T12-U12</f>
        <v>10690</v>
      </c>
      <c r="W12" s="6">
        <v>7328</v>
      </c>
      <c r="X12" s="6">
        <v>7996</v>
      </c>
      <c r="Y12" s="6">
        <v>7888</v>
      </c>
      <c r="Z12" s="6">
        <f>AT12-W12-X12-Y12</f>
        <v>11008</v>
      </c>
      <c r="AA12" s="6">
        <f t="shared" si="3"/>
        <v>7547.84</v>
      </c>
      <c r="AB12" s="6">
        <f t="shared" si="1"/>
        <v>8235.880000000001</v>
      </c>
      <c r="AC12" s="6">
        <f t="shared" si="1"/>
        <v>8124.64</v>
      </c>
      <c r="AD12" s="6">
        <f>Z12*1.03</f>
        <v>11338.24</v>
      </c>
      <c r="AH12" s="6">
        <f>97062*0.13</f>
        <v>12618.060000000001</v>
      </c>
      <c r="AI12" s="6">
        <f>102870*0.13</f>
        <v>13373.1</v>
      </c>
      <c r="AJ12" s="6">
        <f>110212*0.13</f>
        <v>14327.560000000001</v>
      </c>
      <c r="AK12" s="6">
        <f>113666*0.14</f>
        <v>15913.240000000002</v>
      </c>
      <c r="AL12" s="6">
        <f>116073*0.14</f>
        <v>16250.220000000001</v>
      </c>
      <c r="AM12" s="6">
        <v>17849</v>
      </c>
      <c r="AN12" s="6">
        <v>18879</v>
      </c>
      <c r="AO12" s="6">
        <v>19948</v>
      </c>
      <c r="AP12" s="6">
        <v>23204</v>
      </c>
      <c r="AQ12" s="6">
        <v>27183</v>
      </c>
      <c r="AR12" s="6">
        <v>29527</v>
      </c>
      <c r="AS12" s="6">
        <v>31977</v>
      </c>
      <c r="AT12" s="6">
        <v>34220</v>
      </c>
      <c r="AU12" s="6">
        <f t="shared" si="4"/>
        <v>35246.6</v>
      </c>
      <c r="AV12" s="6">
        <f t="shared" si="5"/>
        <v>36303.998</v>
      </c>
      <c r="AW12" s="6">
        <f t="shared" si="6"/>
        <v>37030.077960000002</v>
      </c>
      <c r="AX12" s="6">
        <f t="shared" si="6"/>
        <v>37770.679519200006</v>
      </c>
      <c r="AY12" s="6">
        <f t="shared" si="6"/>
        <v>38526.093109584006</v>
      </c>
      <c r="AZ12" s="6">
        <f t="shared" si="6"/>
        <v>39296.614971775685</v>
      </c>
      <c r="BA12" s="6">
        <f t="shared" si="6"/>
        <v>40082.547271211202</v>
      </c>
      <c r="BB12" s="6">
        <f t="shared" si="6"/>
        <v>40884.198216635428</v>
      </c>
      <c r="BC12" s="6">
        <f t="shared" si="6"/>
        <v>41701.882180968139</v>
      </c>
      <c r="BD12" s="6">
        <f t="shared" si="6"/>
        <v>42535.919824587501</v>
      </c>
      <c r="BE12" s="6">
        <f t="shared" si="6"/>
        <v>43386.638221079251</v>
      </c>
    </row>
    <row r="13" spans="2:57" s="6" customFormat="1" x14ac:dyDescent="0.25">
      <c r="B13" s="9" t="s">
        <v>38</v>
      </c>
      <c r="C13" s="6">
        <v>6414</v>
      </c>
      <c r="D13" s="6">
        <v>5978</v>
      </c>
      <c r="E13" s="6">
        <v>6793</v>
      </c>
      <c r="F13" s="6">
        <f>AO13-C13-D13-E13</f>
        <v>9386</v>
      </c>
      <c r="G13" s="6">
        <v>6988</v>
      </c>
      <c r="H13" s="6">
        <v>6915</v>
      </c>
      <c r="I13" s="6">
        <v>5270</v>
      </c>
      <c r="J13" s="6">
        <f>AP13-G13-H13-I13</f>
        <v>7377</v>
      </c>
      <c r="K13" s="6">
        <v>6081</v>
      </c>
      <c r="L13" s="6">
        <v>6287</v>
      </c>
      <c r="M13" s="6">
        <v>7630</v>
      </c>
      <c r="N13" s="6">
        <f>AQ13-K13-L13-M13</f>
        <v>11628</v>
      </c>
      <c r="O13" s="6">
        <v>9253</v>
      </c>
      <c r="P13" s="6">
        <v>9384</v>
      </c>
      <c r="Q13" s="6">
        <v>11395</v>
      </c>
      <c r="R13" s="6">
        <f>AR13-O13-P13-Q13</f>
        <v>16442</v>
      </c>
      <c r="S13" s="6">
        <v>11240</v>
      </c>
      <c r="T13" s="6">
        <v>10196</v>
      </c>
      <c r="U13" s="6">
        <v>11025</v>
      </c>
      <c r="V13" s="6">
        <f>AS13-S13-T13-U13</f>
        <v>16232</v>
      </c>
      <c r="W13" s="6">
        <v>11599</v>
      </c>
      <c r="X13" s="6">
        <v>10643</v>
      </c>
      <c r="Y13" s="6">
        <v>11921</v>
      </c>
      <c r="Z13" s="6">
        <f>AT13-W13-X13-Y13</f>
        <v>15806</v>
      </c>
      <c r="AA13" s="6">
        <f t="shared" si="3"/>
        <v>11946.970000000001</v>
      </c>
      <c r="AB13" s="6">
        <f t="shared" si="1"/>
        <v>10962.29</v>
      </c>
      <c r="AC13" s="6">
        <f t="shared" si="1"/>
        <v>12278.630000000001</v>
      </c>
      <c r="AD13" s="6">
        <f>Z13*1.03</f>
        <v>16280.18</v>
      </c>
      <c r="AH13" s="6">
        <f>97062*0.18</f>
        <v>17471.16</v>
      </c>
      <c r="AI13" s="6">
        <f>102870*0.17</f>
        <v>17487.900000000001</v>
      </c>
      <c r="AJ13" s="6">
        <f>110212*0.17</f>
        <v>18736.04</v>
      </c>
      <c r="AK13" s="6">
        <f>113666*0.16</f>
        <v>18186.560000000001</v>
      </c>
      <c r="AL13" s="6">
        <f>116073*0.15</f>
        <v>17410.95</v>
      </c>
      <c r="AM13" s="6">
        <v>20841</v>
      </c>
      <c r="AN13" s="6">
        <v>25475</v>
      </c>
      <c r="AO13" s="6">
        <v>28571</v>
      </c>
      <c r="AP13" s="6">
        <v>26550</v>
      </c>
      <c r="AQ13" s="6">
        <v>31626</v>
      </c>
      <c r="AR13" s="6">
        <v>46474</v>
      </c>
      <c r="AS13" s="6">
        <v>48693</v>
      </c>
      <c r="AT13" s="6">
        <v>49969</v>
      </c>
      <c r="AU13" s="6">
        <f t="shared" si="4"/>
        <v>51468.07</v>
      </c>
      <c r="AV13" s="6">
        <f t="shared" si="5"/>
        <v>53012.112099999998</v>
      </c>
      <c r="AW13" s="6">
        <f t="shared" si="6"/>
        <v>54072.354341999999</v>
      </c>
      <c r="AX13" s="6">
        <f t="shared" si="6"/>
        <v>55153.801428840001</v>
      </c>
      <c r="AY13" s="6">
        <f t="shared" si="6"/>
        <v>56256.877457416798</v>
      </c>
      <c r="AZ13" s="6">
        <f t="shared" si="6"/>
        <v>57382.015006565132</v>
      </c>
      <c r="BA13" s="6">
        <f t="shared" si="6"/>
        <v>58529.655306696433</v>
      </c>
      <c r="BB13" s="6">
        <f t="shared" si="6"/>
        <v>59700.248412830362</v>
      </c>
      <c r="BC13" s="6">
        <f t="shared" si="6"/>
        <v>60894.253381086972</v>
      </c>
      <c r="BD13" s="6">
        <f t="shared" si="6"/>
        <v>62112.138448708713</v>
      </c>
      <c r="BE13" s="6">
        <f t="shared" si="6"/>
        <v>63354.381217682887</v>
      </c>
    </row>
    <row r="14" spans="2:57" x14ac:dyDescent="0.25">
      <c r="B14" s="4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2:57" s="8" customFormat="1" x14ac:dyDescent="0.25">
      <c r="B15" s="18" t="s">
        <v>91</v>
      </c>
      <c r="AH15" s="8">
        <f>+AH16+AH17+AH18</f>
        <v>67000</v>
      </c>
      <c r="AI15" s="8">
        <f>+AI16+AI17+AI18</f>
        <v>71200</v>
      </c>
      <c r="AJ15" s="8">
        <f>+AJ16+AJ17+AJ18</f>
        <v>76400</v>
      </c>
      <c r="AK15" s="8">
        <f>+AK16+AK17+AK18</f>
        <v>50700</v>
      </c>
      <c r="AL15" s="8">
        <f>+AL16+AL17+AL18</f>
        <v>86700</v>
      </c>
      <c r="AM15" s="8">
        <f>+AM16+AM17+AM18</f>
        <v>90300</v>
      </c>
      <c r="AN15" s="8">
        <f>+AN16+AN17+AN18</f>
        <v>94300</v>
      </c>
      <c r="AO15" s="8">
        <f>+AO16+AO17+AO18</f>
        <v>98500</v>
      </c>
      <c r="AP15" s="8">
        <f>+AP16+AP17+AP18</f>
        <v>105500</v>
      </c>
      <c r="AQ15" s="8">
        <f>+AQ16+AQ17+AQ18</f>
        <v>111600</v>
      </c>
      <c r="AR15" s="8">
        <f>+AR16+AR17+AR18</f>
        <v>118900</v>
      </c>
      <c r="AS15" s="8">
        <f>+AS16+AS17+AS18</f>
        <v>127900</v>
      </c>
      <c r="AT15" s="8">
        <f>+AT16+AT17+AT18</f>
        <v>136800</v>
      </c>
      <c r="AU15" s="8">
        <f t="shared" ref="AU15:BE15" si="7">+AU16+AU17+AU18</f>
        <v>140904</v>
      </c>
      <c r="AV15" s="8">
        <f t="shared" si="7"/>
        <v>145131.12</v>
      </c>
      <c r="AW15" s="8">
        <f t="shared" si="7"/>
        <v>148033.74239999999</v>
      </c>
      <c r="AX15" s="8">
        <f t="shared" si="7"/>
        <v>150994.41724799998</v>
      </c>
      <c r="AY15" s="8">
        <f t="shared" si="7"/>
        <v>154014.30559296001</v>
      </c>
      <c r="AZ15" s="8">
        <f t="shared" si="7"/>
        <v>157094.59170481924</v>
      </c>
      <c r="BA15" s="8">
        <f t="shared" si="7"/>
        <v>160236.48353891561</v>
      </c>
      <c r="BB15" s="8">
        <f t="shared" si="7"/>
        <v>163441.2132096939</v>
      </c>
      <c r="BC15" s="8">
        <f t="shared" si="7"/>
        <v>166710.03747388779</v>
      </c>
      <c r="BD15" s="8">
        <f t="shared" si="7"/>
        <v>170044.23822336554</v>
      </c>
      <c r="BE15" s="8">
        <f t="shared" si="7"/>
        <v>173445.12298783287</v>
      </c>
    </row>
    <row r="16" spans="2:57" s="6" customFormat="1" x14ac:dyDescent="0.25">
      <c r="B16" s="9" t="s">
        <v>33</v>
      </c>
      <c r="AH16" s="6">
        <v>26700</v>
      </c>
      <c r="AI16" s="6">
        <v>28900</v>
      </c>
      <c r="AJ16" s="6">
        <v>31600</v>
      </c>
      <c r="AK16" s="6">
        <v>3400</v>
      </c>
      <c r="AL16" s="6">
        <v>36800</v>
      </c>
      <c r="AM16" s="6">
        <v>38600</v>
      </c>
      <c r="AN16" s="6">
        <v>40700</v>
      </c>
      <c r="AO16" s="6">
        <v>42900</v>
      </c>
      <c r="AP16" s="6">
        <v>46800</v>
      </c>
      <c r="AQ16" s="6">
        <v>50200</v>
      </c>
      <c r="AR16" s="6">
        <v>54000</v>
      </c>
      <c r="AS16" s="6">
        <v>58800</v>
      </c>
      <c r="AT16" s="6">
        <v>63700</v>
      </c>
      <c r="AU16" s="6">
        <f>AT16*1.03</f>
        <v>65611</v>
      </c>
      <c r="AV16" s="6">
        <f>AU16*1.03</f>
        <v>67579.33</v>
      </c>
      <c r="AW16" s="6">
        <f>AV16*1.02</f>
        <v>68930.916599999997</v>
      </c>
      <c r="AX16" s="6">
        <f t="shared" ref="AX16:BE16" si="8">AW16*1.02</f>
        <v>70309.534931999995</v>
      </c>
      <c r="AY16" s="6">
        <f t="shared" si="8"/>
        <v>71715.725630639994</v>
      </c>
      <c r="AZ16" s="6">
        <f t="shared" si="8"/>
        <v>73150.040143252801</v>
      </c>
      <c r="BA16" s="6">
        <f t="shared" si="8"/>
        <v>74613.040946117864</v>
      </c>
      <c r="BB16" s="6">
        <f t="shared" si="8"/>
        <v>76105.301765040218</v>
      </c>
      <c r="BC16" s="6">
        <f t="shared" si="8"/>
        <v>77627.407800341025</v>
      </c>
      <c r="BD16" s="6">
        <f t="shared" si="8"/>
        <v>79179.95595634784</v>
      </c>
      <c r="BE16" s="6">
        <f t="shared" si="8"/>
        <v>80763.555075474796</v>
      </c>
    </row>
    <row r="17" spans="2:57" s="6" customFormat="1" x14ac:dyDescent="0.25">
      <c r="B17" s="9" t="s">
        <v>34</v>
      </c>
      <c r="AH17" s="6">
        <f>6400+3800</f>
        <v>10200</v>
      </c>
      <c r="AI17" s="6">
        <v>10100</v>
      </c>
      <c r="AJ17" s="6">
        <v>10400</v>
      </c>
      <c r="AK17" s="6">
        <v>10600</v>
      </c>
      <c r="AL17" s="6">
        <v>10800</v>
      </c>
      <c r="AM17" s="6">
        <v>10800</v>
      </c>
      <c r="AN17" s="6">
        <v>10900</v>
      </c>
      <c r="AO17" s="6">
        <v>11000</v>
      </c>
      <c r="AP17" s="6">
        <v>11300</v>
      </c>
      <c r="AQ17" s="6">
        <v>11500</v>
      </c>
      <c r="AR17" s="6">
        <v>11800</v>
      </c>
      <c r="AS17" s="6">
        <v>12200</v>
      </c>
      <c r="AT17" s="6">
        <v>12500</v>
      </c>
      <c r="AU17" s="6">
        <f t="shared" ref="AU17:AV18" si="9">AT17*1.03</f>
        <v>12875</v>
      </c>
      <c r="AV17" s="6">
        <f t="shared" si="9"/>
        <v>13261.25</v>
      </c>
      <c r="AW17" s="6">
        <f>AV17*1.02</f>
        <v>13526.475</v>
      </c>
      <c r="AX17" s="6">
        <f t="shared" ref="AX17:BE17" si="10">AW17*1.02</f>
        <v>13797.004500000001</v>
      </c>
      <c r="AY17" s="6">
        <f t="shared" si="10"/>
        <v>14072.944590000001</v>
      </c>
      <c r="AZ17" s="6">
        <f t="shared" si="10"/>
        <v>14354.403481800002</v>
      </c>
      <c r="BA17" s="6">
        <f t="shared" si="10"/>
        <v>14641.491551436002</v>
      </c>
      <c r="BB17" s="6">
        <f t="shared" si="10"/>
        <v>14934.321382464723</v>
      </c>
      <c r="BC17" s="6">
        <f t="shared" si="10"/>
        <v>15233.007810114017</v>
      </c>
      <c r="BD17" s="6">
        <f t="shared" si="10"/>
        <v>15537.667966316298</v>
      </c>
      <c r="BE17" s="6">
        <f t="shared" si="10"/>
        <v>15848.421325642625</v>
      </c>
    </row>
    <row r="18" spans="2:57" s="6" customFormat="1" x14ac:dyDescent="0.25">
      <c r="B18" s="9" t="s">
        <v>57</v>
      </c>
      <c r="AH18" s="6">
        <v>30100</v>
      </c>
      <c r="AI18" s="6">
        <v>32200</v>
      </c>
      <c r="AJ18" s="6">
        <v>34400</v>
      </c>
      <c r="AK18" s="6">
        <v>36700</v>
      </c>
      <c r="AL18" s="6">
        <v>39100</v>
      </c>
      <c r="AM18" s="6">
        <v>40900</v>
      </c>
      <c r="AN18" s="6">
        <v>42700</v>
      </c>
      <c r="AO18" s="6">
        <v>44600</v>
      </c>
      <c r="AP18" s="6">
        <v>47400</v>
      </c>
      <c r="AQ18" s="6">
        <v>49900</v>
      </c>
      <c r="AR18" s="6">
        <v>53100</v>
      </c>
      <c r="AS18" s="6">
        <v>56900</v>
      </c>
      <c r="AT18" s="6">
        <v>60600</v>
      </c>
      <c r="AU18" s="6">
        <f t="shared" si="9"/>
        <v>62418</v>
      </c>
      <c r="AV18" s="6">
        <f t="shared" si="9"/>
        <v>64290.54</v>
      </c>
      <c r="AW18" s="6">
        <f>AV18*1.02</f>
        <v>65576.3508</v>
      </c>
      <c r="AX18" s="6">
        <f t="shared" ref="AX18:BE18" si="11">AW18*1.02</f>
        <v>66887.877816000007</v>
      </c>
      <c r="AY18" s="6">
        <f t="shared" si="11"/>
        <v>68225.635372320015</v>
      </c>
      <c r="AZ18" s="6">
        <f t="shared" si="11"/>
        <v>69590.148079766412</v>
      </c>
      <c r="BA18" s="6">
        <f t="shared" si="11"/>
        <v>70981.951041361739</v>
      </c>
      <c r="BB18" s="6">
        <f t="shared" si="11"/>
        <v>72401.590062188974</v>
      </c>
      <c r="BC18" s="6">
        <f t="shared" si="11"/>
        <v>73849.621863432752</v>
      </c>
      <c r="BD18" s="6">
        <f t="shared" si="11"/>
        <v>75326.614300701403</v>
      </c>
      <c r="BE18" s="6">
        <f t="shared" si="11"/>
        <v>76833.146586715433</v>
      </c>
    </row>
    <row r="19" spans="2:57" x14ac:dyDescent="0.25"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2:57" x14ac:dyDescent="0.25">
      <c r="B20" s="4" t="s">
        <v>40</v>
      </c>
      <c r="C20" s="6">
        <f>SUM(C10:C13)</f>
        <v>34311</v>
      </c>
      <c r="D20" s="6">
        <f>SUM(D10:D13)</f>
        <v>34628</v>
      </c>
      <c r="E20" s="6">
        <f>SUM(E10:E13)</f>
        <v>33964</v>
      </c>
      <c r="F20" s="6">
        <f>SUM(F10:F13)</f>
        <v>46448</v>
      </c>
      <c r="G20" s="6">
        <f>SUM(G10:G13)</f>
        <v>36236</v>
      </c>
      <c r="H20" s="6">
        <f>SUM(H10:H13)</f>
        <v>38256</v>
      </c>
      <c r="I20" s="6">
        <f>SUM(I10:I13)</f>
        <v>36451</v>
      </c>
      <c r="J20" s="6">
        <f>SUM(J10:J13)</f>
        <v>52277</v>
      </c>
      <c r="K20" s="6">
        <f>SUM(K10:K13)</f>
        <v>42347</v>
      </c>
      <c r="L20" s="6">
        <f>SUM(L10:L13)</f>
        <v>43888</v>
      </c>
      <c r="M20" s="6">
        <f>SUM(M10:M13)</f>
        <v>44376</v>
      </c>
      <c r="N20" s="6">
        <f>SUM(N10:N13)</f>
        <v>61441</v>
      </c>
      <c r="O20" s="6">
        <f>SUM(O10:O13)</f>
        <v>49417</v>
      </c>
      <c r="P20" s="6">
        <f>SUM(P10:P13)</f>
        <v>50937</v>
      </c>
      <c r="Q20" s="6">
        <f>SUM(Q10:Q13)</f>
        <v>51612</v>
      </c>
      <c r="R20" s="6">
        <f>SUM(R10:R13)</f>
        <v>70764</v>
      </c>
      <c r="S20" s="6">
        <f>SUM(S10:S13)</f>
        <v>53437</v>
      </c>
      <c r="T20" s="6">
        <f>SUM(T10:T13)</f>
        <v>54239</v>
      </c>
      <c r="U20" s="6">
        <f>SUM(U10:U13)</f>
        <v>52604</v>
      </c>
      <c r="V20" s="6">
        <f>SUM(V10:V13)</f>
        <v>77430</v>
      </c>
      <c r="W20" s="6">
        <f>SUM(W10:W13)</f>
        <v>56717</v>
      </c>
      <c r="X20" s="6">
        <f>SUM(X10:X13)</f>
        <v>57331</v>
      </c>
      <c r="Y20" s="6">
        <f>SUM(Y10:Y13)</f>
        <v>57392</v>
      </c>
      <c r="Z20" s="6">
        <f>SUM(Z10:Z13)</f>
        <v>78185</v>
      </c>
      <c r="AA20" s="6">
        <f>W20*1.03</f>
        <v>58418.51</v>
      </c>
      <c r="AB20" s="6">
        <f t="shared" ref="AB20:AD21" si="12">X20*1.03</f>
        <v>59050.93</v>
      </c>
      <c r="AC20" s="6">
        <f t="shared" si="12"/>
        <v>59113.760000000002</v>
      </c>
      <c r="AD20" s="6">
        <f t="shared" si="12"/>
        <v>80530.55</v>
      </c>
      <c r="AG20" s="6">
        <v>87048</v>
      </c>
      <c r="AH20" s="6">
        <f>+AH10+AH11+AH12+AH13</f>
        <v>97062</v>
      </c>
      <c r="AI20" s="6">
        <f>+AI10+AI11+AI12+AI13</f>
        <v>102870</v>
      </c>
      <c r="AJ20" s="6">
        <f>+AJ10+AJ11+AJ12+AJ13</f>
        <v>110212</v>
      </c>
      <c r="AK20" s="6">
        <f>+AK10+AK11+AK12+AK13</f>
        <v>113666</v>
      </c>
      <c r="AL20" s="6">
        <f>+AL10+AL11+AL12+AL13</f>
        <v>116073</v>
      </c>
      <c r="AM20" s="6">
        <f>+AM10+AM11+AM12+AM13</f>
        <v>126172</v>
      </c>
      <c r="AN20" s="6">
        <f>+AN10+AN11+AN12+AN13</f>
        <v>138434</v>
      </c>
      <c r="AO20" s="6">
        <f>+AO10+AO11+AO12+AO13</f>
        <v>149351</v>
      </c>
      <c r="AP20" s="6">
        <f>+AP10+AP11+AP12+AP13</f>
        <v>163220</v>
      </c>
      <c r="AQ20" s="6">
        <f>+AQ10+AQ11+AQ12+AQ13</f>
        <v>192052</v>
      </c>
      <c r="AR20" s="6">
        <f>+AR10+AR11+AR12+AR13</f>
        <v>222730</v>
      </c>
      <c r="AS20" s="6">
        <f>+AS10+AS11+AS12+AS13</f>
        <v>237710</v>
      </c>
      <c r="AT20" s="6">
        <f>+AT10+AT11+AT12+AT13</f>
        <v>249625</v>
      </c>
      <c r="AU20" s="6">
        <f>SUM(AA20:AD20)</f>
        <v>257113.75</v>
      </c>
      <c r="AV20" s="6">
        <f>SUM(AV10:AV13)</f>
        <v>264827.16249999998</v>
      </c>
      <c r="AW20" s="6">
        <f t="shared" ref="AW20:BE20" si="13">SUM(AW10:AW13)</f>
        <v>270123.70575000002</v>
      </c>
      <c r="AX20" s="6">
        <f t="shared" si="13"/>
        <v>275526.17986499995</v>
      </c>
      <c r="AY20" s="6">
        <f t="shared" si="13"/>
        <v>281036.70346230001</v>
      </c>
      <c r="AZ20" s="6">
        <f t="shared" si="13"/>
        <v>286657.43753154599</v>
      </c>
      <c r="BA20" s="6">
        <f t="shared" si="13"/>
        <v>292390.58628217696</v>
      </c>
      <c r="BB20" s="6">
        <f t="shared" si="13"/>
        <v>298238.39800782048</v>
      </c>
      <c r="BC20" s="6">
        <f t="shared" si="13"/>
        <v>304203.16596797691</v>
      </c>
      <c r="BD20" s="6">
        <f t="shared" si="13"/>
        <v>310287.22928733646</v>
      </c>
      <c r="BE20" s="6">
        <f t="shared" si="13"/>
        <v>316492.97387308319</v>
      </c>
    </row>
    <row r="21" spans="2:57" x14ac:dyDescent="0.25">
      <c r="B21" s="4" t="s">
        <v>39</v>
      </c>
      <c r="C21" s="6">
        <v>758</v>
      </c>
      <c r="D21" s="6">
        <v>768</v>
      </c>
      <c r="E21" s="6">
        <v>776</v>
      </c>
      <c r="F21" s="6">
        <f>AO21-C21-D21-E21</f>
        <v>1050</v>
      </c>
      <c r="G21" s="6">
        <v>804</v>
      </c>
      <c r="H21" s="6">
        <v>816</v>
      </c>
      <c r="I21" s="6">
        <v>815</v>
      </c>
      <c r="J21" s="6">
        <f>AP21-G21-H21-I21</f>
        <v>1106</v>
      </c>
      <c r="K21" s="6">
        <v>861</v>
      </c>
      <c r="L21" s="6">
        <v>881</v>
      </c>
      <c r="M21" s="6">
        <v>901</v>
      </c>
      <c r="N21" s="6">
        <f>AQ21-K21-L21-M21</f>
        <v>1234</v>
      </c>
      <c r="O21" s="6">
        <v>946</v>
      </c>
      <c r="P21" s="6">
        <v>967</v>
      </c>
      <c r="Q21" s="6">
        <v>984</v>
      </c>
      <c r="R21" s="6">
        <f>AR21-O21-P21-Q21</f>
        <v>1327</v>
      </c>
      <c r="S21" s="6">
        <v>1000</v>
      </c>
      <c r="T21" s="6">
        <v>1027</v>
      </c>
      <c r="U21" s="6">
        <v>1044</v>
      </c>
      <c r="V21" s="6">
        <f>AS21-S21-T21-U21</f>
        <v>1509</v>
      </c>
      <c r="W21" s="6">
        <v>1082</v>
      </c>
      <c r="X21" s="6">
        <v>1111</v>
      </c>
      <c r="Y21" s="6">
        <v>1123</v>
      </c>
      <c r="Z21" s="6">
        <f>AT21-W21-X21-Y21</f>
        <v>1512</v>
      </c>
      <c r="AA21" s="6">
        <f>W21*1.03</f>
        <v>1114.46</v>
      </c>
      <c r="AB21" s="6">
        <f t="shared" si="12"/>
        <v>1144.33</v>
      </c>
      <c r="AC21" s="6">
        <f t="shared" si="12"/>
        <v>1156.69</v>
      </c>
      <c r="AD21" s="6">
        <f t="shared" si="12"/>
        <v>1557.3600000000001</v>
      </c>
      <c r="AG21" s="6">
        <v>1867</v>
      </c>
      <c r="AH21" s="6">
        <v>2075</v>
      </c>
      <c r="AI21" s="6">
        <v>2286</v>
      </c>
      <c r="AJ21" s="6">
        <v>2428</v>
      </c>
      <c r="AK21" s="6">
        <v>2533</v>
      </c>
      <c r="AL21" s="6">
        <v>2646</v>
      </c>
      <c r="AM21" s="6">
        <v>2853</v>
      </c>
      <c r="AN21" s="6">
        <v>3142</v>
      </c>
      <c r="AO21" s="6">
        <v>3352</v>
      </c>
      <c r="AP21" s="6">
        <v>3541</v>
      </c>
      <c r="AQ21" s="6">
        <v>3877</v>
      </c>
      <c r="AR21" s="6">
        <v>4224</v>
      </c>
      <c r="AS21" s="6">
        <v>4580</v>
      </c>
      <c r="AT21" s="6">
        <v>4828</v>
      </c>
      <c r="AU21" s="6">
        <f>SUM(AA21:AD21)</f>
        <v>4972.84</v>
      </c>
      <c r="AV21" s="6">
        <f>AU21*1.03</f>
        <v>5122.0252</v>
      </c>
      <c r="AW21" s="6">
        <f>AV21*1.02</f>
        <v>5224.4657040000002</v>
      </c>
      <c r="AX21" s="6">
        <f t="shared" ref="AX21:BE21" si="14">AW21*1.02</f>
        <v>5328.9550180800006</v>
      </c>
      <c r="AY21" s="6">
        <f t="shared" si="14"/>
        <v>5435.5341184416011</v>
      </c>
      <c r="AZ21" s="6">
        <f t="shared" si="14"/>
        <v>5544.2448008104329</v>
      </c>
      <c r="BA21" s="6">
        <f t="shared" si="14"/>
        <v>5655.1296968266415</v>
      </c>
      <c r="BB21" s="6">
        <f t="shared" si="14"/>
        <v>5768.2322907631742</v>
      </c>
      <c r="BC21" s="6">
        <f t="shared" si="14"/>
        <v>5883.5969365784376</v>
      </c>
      <c r="BD21" s="6">
        <f t="shared" si="14"/>
        <v>6001.2688753100065</v>
      </c>
      <c r="BE21" s="6">
        <f t="shared" si="14"/>
        <v>6121.2942528162066</v>
      </c>
    </row>
    <row r="22" spans="2:57" s="7" customFormat="1" x14ac:dyDescent="0.25">
      <c r="B22" s="5" t="s">
        <v>41</v>
      </c>
      <c r="C22" s="8">
        <f>+C20+C21</f>
        <v>35069</v>
      </c>
      <c r="D22" s="8">
        <f t="shared" ref="D22:AD22" si="15">+D20+D21</f>
        <v>35396</v>
      </c>
      <c r="E22" s="8">
        <f t="shared" si="15"/>
        <v>34740</v>
      </c>
      <c r="F22" s="8">
        <f t="shared" si="15"/>
        <v>47498</v>
      </c>
      <c r="G22" s="8">
        <f t="shared" si="15"/>
        <v>37040</v>
      </c>
      <c r="H22" s="8">
        <f t="shared" si="15"/>
        <v>39072</v>
      </c>
      <c r="I22" s="8">
        <f t="shared" si="15"/>
        <v>37266</v>
      </c>
      <c r="J22" s="8">
        <f t="shared" si="15"/>
        <v>53383</v>
      </c>
      <c r="K22" s="8">
        <f t="shared" si="15"/>
        <v>43208</v>
      </c>
      <c r="L22" s="8">
        <f t="shared" si="15"/>
        <v>44769</v>
      </c>
      <c r="M22" s="8">
        <f t="shared" si="15"/>
        <v>45277</v>
      </c>
      <c r="N22" s="8">
        <f t="shared" si="15"/>
        <v>62675</v>
      </c>
      <c r="O22" s="8">
        <f t="shared" si="15"/>
        <v>50363</v>
      </c>
      <c r="P22" s="8">
        <f t="shared" si="15"/>
        <v>51904</v>
      </c>
      <c r="Q22" s="8">
        <f t="shared" si="15"/>
        <v>52596</v>
      </c>
      <c r="R22" s="8">
        <f t="shared" si="15"/>
        <v>72091</v>
      </c>
      <c r="S22" s="8">
        <f t="shared" si="15"/>
        <v>54437</v>
      </c>
      <c r="T22" s="8">
        <f t="shared" si="15"/>
        <v>55266</v>
      </c>
      <c r="U22" s="8">
        <f t="shared" si="15"/>
        <v>53648</v>
      </c>
      <c r="V22" s="8">
        <f t="shared" si="15"/>
        <v>78939</v>
      </c>
      <c r="W22" s="8">
        <f t="shared" si="15"/>
        <v>57799</v>
      </c>
      <c r="X22" s="8">
        <f t="shared" si="15"/>
        <v>58442</v>
      </c>
      <c r="Y22" s="8">
        <f t="shared" si="15"/>
        <v>58515</v>
      </c>
      <c r="Z22" s="8">
        <f t="shared" si="15"/>
        <v>79697</v>
      </c>
      <c r="AA22" s="8">
        <f t="shared" si="15"/>
        <v>59532.97</v>
      </c>
      <c r="AB22" s="8">
        <f t="shared" si="15"/>
        <v>60195.26</v>
      </c>
      <c r="AC22" s="8">
        <f t="shared" si="15"/>
        <v>60270.450000000004</v>
      </c>
      <c r="AD22" s="8">
        <f t="shared" si="15"/>
        <v>82087.91</v>
      </c>
      <c r="AG22" s="8">
        <f>+AG20+AG21</f>
        <v>88915</v>
      </c>
      <c r="AH22" s="8">
        <f>SUM(AH20:AH21)</f>
        <v>99137</v>
      </c>
      <c r="AI22" s="8">
        <f>SUM(AI20:AI21)</f>
        <v>105156</v>
      </c>
      <c r="AJ22" s="8">
        <f>SUM(AJ20:AJ21)</f>
        <v>112640</v>
      </c>
      <c r="AK22" s="8">
        <f>SUM(AK20:AK21)</f>
        <v>116199</v>
      </c>
      <c r="AL22" s="8">
        <f>SUM(AL20:AL21)</f>
        <v>118719</v>
      </c>
      <c r="AM22" s="8">
        <f>SUM(AM20:AM21)</f>
        <v>129025</v>
      </c>
      <c r="AN22" s="8">
        <f>SUM(AN20:AN21)</f>
        <v>141576</v>
      </c>
      <c r="AO22" s="8">
        <f>SUM(AO20:AO21)</f>
        <v>152703</v>
      </c>
      <c r="AP22" s="8">
        <f>SUM(AP20:AP21)</f>
        <v>166761</v>
      </c>
      <c r="AQ22" s="8">
        <f>SUM(AQ20:AQ21)</f>
        <v>195929</v>
      </c>
      <c r="AR22" s="8">
        <f>SUM(AR20:AR21)</f>
        <v>226954</v>
      </c>
      <c r="AS22" s="8">
        <f>SUM(AS20:AS21)</f>
        <v>242290</v>
      </c>
      <c r="AT22" s="8">
        <f>SUM(AT20:AT21)</f>
        <v>254453</v>
      </c>
      <c r="AU22" s="8">
        <f t="shared" ref="AU22" si="16">+AU20+AU21</f>
        <v>262086.59</v>
      </c>
      <c r="AV22" s="8">
        <f t="shared" ref="AV22" si="17">+AV20+AV21</f>
        <v>269949.18769999995</v>
      </c>
      <c r="AW22" s="8">
        <f t="shared" ref="AW22" si="18">+AW20+AW21</f>
        <v>275348.171454</v>
      </c>
      <c r="AX22" s="8">
        <f t="shared" ref="AX22" si="19">+AX20+AX21</f>
        <v>280855.13488307997</v>
      </c>
      <c r="AY22" s="8">
        <f t="shared" ref="AY22" si="20">+AY20+AY21</f>
        <v>286472.23758074158</v>
      </c>
      <c r="AZ22" s="8">
        <f t="shared" ref="AZ22" si="21">+AZ20+AZ21</f>
        <v>292201.6823323564</v>
      </c>
      <c r="BA22" s="8">
        <f t="shared" ref="BA22" si="22">+BA20+BA21</f>
        <v>298045.71597900358</v>
      </c>
      <c r="BB22" s="8">
        <f t="shared" ref="BB22" si="23">+BB20+BB21</f>
        <v>304006.63029858365</v>
      </c>
      <c r="BC22" s="8">
        <f t="shared" ref="BC22" si="24">+BC20+BC21</f>
        <v>310086.76290455536</v>
      </c>
      <c r="BD22" s="8">
        <f t="shared" ref="BD22" si="25">+BD20+BD21</f>
        <v>316288.49816264649</v>
      </c>
      <c r="BE22" s="8">
        <f t="shared" ref="BE22" si="26">+BE20+BE21</f>
        <v>322614.26812589937</v>
      </c>
    </row>
    <row r="23" spans="2:57" x14ac:dyDescent="0.25">
      <c r="B23" s="4" t="s">
        <v>42</v>
      </c>
      <c r="C23" s="6">
        <v>30623</v>
      </c>
      <c r="D23" s="6">
        <v>30720</v>
      </c>
      <c r="E23" s="6">
        <v>30233</v>
      </c>
      <c r="F23" s="6">
        <f>AO23-C23-D23-E23</f>
        <v>41310</v>
      </c>
      <c r="G23" s="6">
        <v>32233</v>
      </c>
      <c r="H23" s="6">
        <v>34056</v>
      </c>
      <c r="I23" s="6">
        <v>32249</v>
      </c>
      <c r="J23" s="6">
        <f>AP23-G23-H23-I23</f>
        <v>46401</v>
      </c>
      <c r="K23" s="6">
        <v>37458</v>
      </c>
      <c r="L23" s="6">
        <v>39078</v>
      </c>
      <c r="M23" s="6">
        <v>39415</v>
      </c>
      <c r="N23" s="6">
        <f>AQ23-K23-L23-M23</f>
        <v>54733</v>
      </c>
      <c r="O23" s="6">
        <v>43952</v>
      </c>
      <c r="P23" s="6">
        <v>45517</v>
      </c>
      <c r="Q23" s="6">
        <v>46355</v>
      </c>
      <c r="R23" s="6">
        <f>AR23-O23-P23-Q23</f>
        <v>63558</v>
      </c>
      <c r="S23" s="6">
        <v>47769</v>
      </c>
      <c r="T23" s="6">
        <v>48423</v>
      </c>
      <c r="U23" s="6">
        <v>47175</v>
      </c>
      <c r="V23" s="6">
        <f>AS23-S23-T23-U23</f>
        <v>69219</v>
      </c>
      <c r="W23" s="6">
        <v>50457</v>
      </c>
      <c r="X23" s="6">
        <v>51140</v>
      </c>
      <c r="Y23" s="6">
        <v>51173</v>
      </c>
      <c r="Z23" s="6">
        <f>AT23-W23-X23-Y23</f>
        <v>69588</v>
      </c>
      <c r="AA23" s="6">
        <f>W23*1.03</f>
        <v>51970.71</v>
      </c>
      <c r="AB23" s="6">
        <f t="shared" ref="AB23:AD23" si="27">X23*1.03</f>
        <v>52674.200000000004</v>
      </c>
      <c r="AC23" s="6">
        <f t="shared" si="27"/>
        <v>52708.19</v>
      </c>
      <c r="AD23" s="6">
        <f t="shared" si="27"/>
        <v>71675.64</v>
      </c>
      <c r="AH23" s="6">
        <v>86823</v>
      </c>
      <c r="AI23" s="6">
        <v>91948</v>
      </c>
      <c r="AJ23" s="6">
        <v>98458</v>
      </c>
      <c r="AK23" s="6">
        <v>101065</v>
      </c>
      <c r="AL23" s="6">
        <v>102901</v>
      </c>
      <c r="AM23" s="6">
        <v>111882</v>
      </c>
      <c r="AN23" s="6">
        <v>123152</v>
      </c>
      <c r="AO23" s="6">
        <v>132886</v>
      </c>
      <c r="AP23" s="6">
        <v>144939</v>
      </c>
      <c r="AQ23" s="6">
        <v>170684</v>
      </c>
      <c r="AR23" s="6">
        <v>199382</v>
      </c>
      <c r="AS23" s="6">
        <v>212586</v>
      </c>
      <c r="AT23" s="6">
        <v>222358</v>
      </c>
      <c r="AU23" s="6">
        <f>SUM(AA23:AD23)</f>
        <v>229028.74</v>
      </c>
      <c r="AV23" s="6">
        <f>AV22*(1-AT37)</f>
        <v>235899.60219999994</v>
      </c>
      <c r="AW23" s="6">
        <f t="shared" ref="AW23:BE23" si="28">AW22*(1-AU37)</f>
        <v>240617.59424399998</v>
      </c>
      <c r="AX23" s="6">
        <f t="shared" si="28"/>
        <v>245429.94612887996</v>
      </c>
      <c r="AY23" s="6">
        <f t="shared" si="28"/>
        <v>250338.54505145756</v>
      </c>
      <c r="AZ23" s="6">
        <f t="shared" si="28"/>
        <v>255345.31595248671</v>
      </c>
      <c r="BA23" s="6">
        <f t="shared" si="28"/>
        <v>260452.22227153648</v>
      </c>
      <c r="BB23" s="6">
        <f t="shared" si="28"/>
        <v>265661.26671696722</v>
      </c>
      <c r="BC23" s="6">
        <f t="shared" si="28"/>
        <v>270974.49205130659</v>
      </c>
      <c r="BD23" s="6">
        <f t="shared" si="28"/>
        <v>276393.98189233273</v>
      </c>
      <c r="BE23" s="6">
        <f t="shared" si="28"/>
        <v>281921.86153017933</v>
      </c>
    </row>
    <row r="24" spans="2:57" x14ac:dyDescent="0.25">
      <c r="B24" s="4" t="s">
        <v>44</v>
      </c>
      <c r="C24" s="6">
        <f>+C22-C23</f>
        <v>4446</v>
      </c>
      <c r="D24" s="6">
        <f t="shared" ref="D24:AD24" si="29">+D22-D23</f>
        <v>4676</v>
      </c>
      <c r="E24" s="6">
        <f t="shared" si="29"/>
        <v>4507</v>
      </c>
      <c r="F24" s="6">
        <f t="shared" si="29"/>
        <v>6188</v>
      </c>
      <c r="G24" s="6">
        <f t="shared" si="29"/>
        <v>4807</v>
      </c>
      <c r="H24" s="6">
        <f t="shared" si="29"/>
        <v>5016</v>
      </c>
      <c r="I24" s="6">
        <f t="shared" si="29"/>
        <v>5017</v>
      </c>
      <c r="J24" s="6">
        <f t="shared" si="29"/>
        <v>6982</v>
      </c>
      <c r="K24" s="6">
        <f t="shared" si="29"/>
        <v>5750</v>
      </c>
      <c r="L24" s="6">
        <f t="shared" si="29"/>
        <v>5691</v>
      </c>
      <c r="M24" s="6">
        <f t="shared" si="29"/>
        <v>5862</v>
      </c>
      <c r="N24" s="6">
        <f t="shared" si="29"/>
        <v>7942</v>
      </c>
      <c r="O24" s="6">
        <f t="shared" si="29"/>
        <v>6411</v>
      </c>
      <c r="P24" s="6">
        <f t="shared" si="29"/>
        <v>6387</v>
      </c>
      <c r="Q24" s="6">
        <f t="shared" si="29"/>
        <v>6241</v>
      </c>
      <c r="R24" s="6">
        <f t="shared" si="29"/>
        <v>8533</v>
      </c>
      <c r="S24" s="6">
        <f t="shared" si="29"/>
        <v>6668</v>
      </c>
      <c r="T24" s="6">
        <f t="shared" si="29"/>
        <v>6843</v>
      </c>
      <c r="U24" s="6">
        <f t="shared" si="29"/>
        <v>6473</v>
      </c>
      <c r="V24" s="6">
        <f t="shared" si="29"/>
        <v>9720</v>
      </c>
      <c r="W24" s="6">
        <f t="shared" si="29"/>
        <v>7342</v>
      </c>
      <c r="X24" s="6">
        <f t="shared" si="29"/>
        <v>7302</v>
      </c>
      <c r="Y24" s="6">
        <f t="shared" si="29"/>
        <v>7342</v>
      </c>
      <c r="Z24" s="6">
        <f t="shared" si="29"/>
        <v>10109</v>
      </c>
      <c r="AA24" s="6">
        <f t="shared" si="29"/>
        <v>7562.260000000002</v>
      </c>
      <c r="AB24" s="6">
        <f t="shared" si="29"/>
        <v>7521.0599999999977</v>
      </c>
      <c r="AC24" s="6">
        <f t="shared" si="29"/>
        <v>7562.260000000002</v>
      </c>
      <c r="AD24" s="6">
        <f t="shared" si="29"/>
        <v>10412.270000000004</v>
      </c>
      <c r="AH24" s="6">
        <f>+AH22-AH23</f>
        <v>12314</v>
      </c>
      <c r="AI24" s="6">
        <f t="shared" ref="AI24:AR24" si="30">+AI22-AI23</f>
        <v>13208</v>
      </c>
      <c r="AJ24" s="6">
        <f t="shared" si="30"/>
        <v>14182</v>
      </c>
      <c r="AK24" s="6">
        <f t="shared" si="30"/>
        <v>15134</v>
      </c>
      <c r="AL24" s="6">
        <f t="shared" si="30"/>
        <v>15818</v>
      </c>
      <c r="AM24" s="6">
        <f t="shared" si="30"/>
        <v>17143</v>
      </c>
      <c r="AN24" s="6">
        <f t="shared" si="30"/>
        <v>18424</v>
      </c>
      <c r="AO24" s="6">
        <f t="shared" si="30"/>
        <v>19817</v>
      </c>
      <c r="AP24" s="6">
        <f t="shared" si="30"/>
        <v>21822</v>
      </c>
      <c r="AQ24" s="6">
        <f t="shared" si="30"/>
        <v>25245</v>
      </c>
      <c r="AR24" s="6">
        <f t="shared" si="30"/>
        <v>27572</v>
      </c>
      <c r="AS24" s="6">
        <f>+AS22-AS23</f>
        <v>29704</v>
      </c>
      <c r="AT24" s="6">
        <f>AT22-AT23</f>
        <v>32095</v>
      </c>
      <c r="AU24" s="6">
        <f t="shared" ref="AU24" si="31">+AU22-AU23</f>
        <v>33057.850000000006</v>
      </c>
      <c r="AV24" s="6">
        <f t="shared" ref="AV24" si="32">+AV22-AV23</f>
        <v>34049.585500000016</v>
      </c>
      <c r="AW24" s="6">
        <f t="shared" ref="AW24" si="33">+AW22-AW23</f>
        <v>34730.577210000018</v>
      </c>
      <c r="AX24" s="6">
        <f t="shared" ref="AX24" si="34">+AX22-AX23</f>
        <v>35425.188754200004</v>
      </c>
      <c r="AY24" s="6">
        <f t="shared" ref="AY24" si="35">+AY22-AY23</f>
        <v>36133.692529284017</v>
      </c>
      <c r="AZ24" s="6">
        <f t="shared" ref="AZ24" si="36">+AZ22-AZ23</f>
        <v>36856.366379869694</v>
      </c>
      <c r="BA24" s="6">
        <f t="shared" ref="BA24" si="37">+BA22-BA23</f>
        <v>37593.493707467103</v>
      </c>
      <c r="BB24" s="6">
        <f t="shared" ref="BB24" si="38">+BB22-BB23</f>
        <v>38345.363581616431</v>
      </c>
      <c r="BC24" s="6">
        <f t="shared" ref="BC24" si="39">+BC22-BC23</f>
        <v>39112.270853248774</v>
      </c>
      <c r="BD24" s="6">
        <f t="shared" ref="BD24" si="40">+BD22-BD23</f>
        <v>39894.516270313761</v>
      </c>
      <c r="BE24" s="6">
        <f t="shared" ref="BE24" si="41">+BE22-BE23</f>
        <v>40692.406595720036</v>
      </c>
    </row>
    <row r="25" spans="2:57" x14ac:dyDescent="0.25">
      <c r="B25" s="4" t="s">
        <v>45</v>
      </c>
      <c r="C25" s="6">
        <f>3475+22</f>
        <v>3497</v>
      </c>
      <c r="D25" s="6">
        <f>3464+9</f>
        <v>3473</v>
      </c>
      <c r="E25" s="6">
        <f>3371+14</f>
        <v>3385</v>
      </c>
      <c r="F25" s="6">
        <f>AO25-C25-D25-E25</f>
        <v>4725</v>
      </c>
      <c r="G25" s="6">
        <f>3732+14</f>
        <v>3746</v>
      </c>
      <c r="H25" s="6">
        <f>3743+7</f>
        <v>3750</v>
      </c>
      <c r="I25" s="6">
        <f>3830+8</f>
        <v>3838</v>
      </c>
      <c r="J25" s="6">
        <f>AP25-G25-H25-I25</f>
        <v>5053</v>
      </c>
      <c r="K25" s="6">
        <v>4320</v>
      </c>
      <c r="L25" s="6">
        <v>4351</v>
      </c>
      <c r="M25" s="6">
        <v>4199</v>
      </c>
      <c r="N25" s="6">
        <f>AQ25-K25-L25-M25</f>
        <v>5667</v>
      </c>
      <c r="O25" s="6">
        <v>4718</v>
      </c>
      <c r="P25" s="6">
        <v>4575</v>
      </c>
      <c r="Q25" s="6">
        <v>4450</v>
      </c>
      <c r="R25" s="6">
        <f>AR25-O25-P25-Q25</f>
        <v>6036</v>
      </c>
      <c r="S25" s="6">
        <v>4917</v>
      </c>
      <c r="T25" s="6">
        <v>4940</v>
      </c>
      <c r="U25" s="6">
        <v>4794</v>
      </c>
      <c r="V25" s="6">
        <f>AS25-S25-T25-U25</f>
        <v>6939</v>
      </c>
      <c r="W25" s="6">
        <v>5358</v>
      </c>
      <c r="X25" s="6">
        <v>5240</v>
      </c>
      <c r="Y25" s="6">
        <v>5145</v>
      </c>
      <c r="Z25" s="6">
        <f>AT25-W25-X25-Y25</f>
        <v>7067</v>
      </c>
      <c r="AA25" s="6" cm="1">
        <f t="array" ref="AA25">+AA24*(AVERAGE($W$25:$Z$25/$W$24:$Z$24))</f>
        <v>5382.8701321815861</v>
      </c>
      <c r="AB25" s="6" cm="1">
        <f t="array" ref="AB25">+AB24*(AVERAGE($W$25:$Z$25/$W$24:$Z$24))</f>
        <v>5353.5436809030125</v>
      </c>
      <c r="AC25" s="6" cm="1">
        <f t="array" ref="AC25">+AC24*(AVERAGE($W$25:$Z$25/$W$24:$Z$24))</f>
        <v>5382.8701321815861</v>
      </c>
      <c r="AD25" s="6" cm="1">
        <f t="array" ref="AD25">+AD24*(AVERAGE($W$25:$Z$25/$W$24:$Z$24))</f>
        <v>7411.5273993766905</v>
      </c>
      <c r="AH25" s="6">
        <f>9518+37</f>
        <v>9555</v>
      </c>
      <c r="AI25" s="6">
        <f>10104+51</f>
        <v>10155</v>
      </c>
      <c r="AJ25" s="6">
        <f>10899+63</f>
        <v>10962</v>
      </c>
      <c r="AK25" s="6">
        <f>11445+65</f>
        <v>11510</v>
      </c>
      <c r="AL25" s="6">
        <f>12068+78</f>
        <v>12146</v>
      </c>
      <c r="AM25" s="6">
        <f>12950+82</f>
        <v>13032</v>
      </c>
      <c r="AN25" s="6">
        <f>13876+68</f>
        <v>13944</v>
      </c>
      <c r="AO25" s="6">
        <f>14994+86</f>
        <v>15080</v>
      </c>
      <c r="AP25" s="6">
        <v>16387</v>
      </c>
      <c r="AQ25" s="6">
        <v>18537</v>
      </c>
      <c r="AR25" s="6">
        <v>19779</v>
      </c>
      <c r="AS25" s="6">
        <v>21590</v>
      </c>
      <c r="AT25" s="6">
        <v>22810</v>
      </c>
      <c r="AU25" s="6">
        <f>SUM(AA25:AD25)</f>
        <v>23530.811344642876</v>
      </c>
      <c r="AV25" s="6" cm="1">
        <f t="array" ref="AV25">AV24*(AVERAGE($AQ$25:$AT$25/$AQ$24:$AT$24))</f>
        <v>24593.870419505358</v>
      </c>
      <c r="AW25" s="6" cm="1">
        <f t="array" ref="AW25">AW24*(AVERAGE($AQ$25:$AT$25/$AQ$24:$AT$24))</f>
        <v>25085.747827895466</v>
      </c>
      <c r="AX25" s="6" cm="1">
        <f t="array" ref="AX25">AX24*(AVERAGE($AQ$25:$AT$25/$AQ$24:$AT$24))</f>
        <v>25587.462784453364</v>
      </c>
      <c r="AY25" s="6" cm="1">
        <f t="array" ref="AY25">AY24*(AVERAGE($AQ$25:$AT$25/$AQ$24:$AT$24))</f>
        <v>26099.212040142444</v>
      </c>
      <c r="AZ25" s="6" cm="1">
        <f t="array" ref="AZ25">AZ24*(AVERAGE($AQ$25:$AT$25/$AQ$24:$AT$24))</f>
        <v>26621.196280945289</v>
      </c>
      <c r="BA25" s="6" cm="1">
        <f t="array" ref="BA25">BA24*(AVERAGE($AQ$25:$AT$25/$AQ$24:$AT$24))</f>
        <v>27153.620206564206</v>
      </c>
      <c r="BB25" s="6" cm="1">
        <f t="array" ref="BB25">BB24*(AVERAGE($AQ$25:$AT$25/$AQ$24:$AT$24))</f>
        <v>27696.692610695482</v>
      </c>
      <c r="BC25" s="6" cm="1">
        <f t="array" ref="BC25">BC24*(AVERAGE($AQ$25:$AT$25/$AQ$24:$AT$24))</f>
        <v>28250.6264629094</v>
      </c>
      <c r="BD25" s="6" cm="1">
        <f t="array" ref="BD25">BD24*(AVERAGE($AQ$25:$AT$25/$AQ$24:$AT$24))</f>
        <v>28815.638992167595</v>
      </c>
      <c r="BE25" s="6" cm="1">
        <f t="array" ref="BE25">BE24*(AVERAGE($AQ$25:$AT$25/$AQ$24:$AT$24))</f>
        <v>29391.951772010947</v>
      </c>
    </row>
    <row r="26" spans="2:57" x14ac:dyDescent="0.25">
      <c r="B26" s="4" t="s">
        <v>46</v>
      </c>
      <c r="C26" s="6">
        <f>+C24-C25</f>
        <v>949</v>
      </c>
      <c r="D26" s="6">
        <f t="shared" ref="D26:AD26" si="42">+D24-D25</f>
        <v>1203</v>
      </c>
      <c r="E26" s="6">
        <f t="shared" si="42"/>
        <v>1122</v>
      </c>
      <c r="F26" s="6">
        <f t="shared" si="42"/>
        <v>1463</v>
      </c>
      <c r="G26" s="6">
        <f t="shared" si="42"/>
        <v>1061</v>
      </c>
      <c r="H26" s="6">
        <f t="shared" si="42"/>
        <v>1266</v>
      </c>
      <c r="I26" s="6">
        <f t="shared" si="42"/>
        <v>1179</v>
      </c>
      <c r="J26" s="6">
        <f t="shared" si="42"/>
        <v>1929</v>
      </c>
      <c r="K26" s="6">
        <f t="shared" si="42"/>
        <v>1430</v>
      </c>
      <c r="L26" s="6">
        <f t="shared" si="42"/>
        <v>1340</v>
      </c>
      <c r="M26" s="6">
        <f t="shared" si="42"/>
        <v>1663</v>
      </c>
      <c r="N26" s="6">
        <f t="shared" si="42"/>
        <v>2275</v>
      </c>
      <c r="O26" s="6">
        <f t="shared" si="42"/>
        <v>1693</v>
      </c>
      <c r="P26" s="6">
        <f t="shared" si="42"/>
        <v>1812</v>
      </c>
      <c r="Q26" s="6">
        <f t="shared" si="42"/>
        <v>1791</v>
      </c>
      <c r="R26" s="6">
        <f t="shared" si="42"/>
        <v>2497</v>
      </c>
      <c r="S26" s="6">
        <f t="shared" si="42"/>
        <v>1751</v>
      </c>
      <c r="T26" s="6">
        <f t="shared" si="42"/>
        <v>1903</v>
      </c>
      <c r="U26" s="6">
        <f t="shared" si="42"/>
        <v>1679</v>
      </c>
      <c r="V26" s="6">
        <f t="shared" si="42"/>
        <v>2781</v>
      </c>
      <c r="W26" s="6">
        <f t="shared" si="42"/>
        <v>1984</v>
      </c>
      <c r="X26" s="6">
        <f t="shared" si="42"/>
        <v>2062</v>
      </c>
      <c r="Y26" s="6">
        <f t="shared" si="42"/>
        <v>2197</v>
      </c>
      <c r="Z26" s="6">
        <f t="shared" si="42"/>
        <v>3042</v>
      </c>
      <c r="AA26" s="6">
        <f t="shared" si="42"/>
        <v>2179.389867818416</v>
      </c>
      <c r="AB26" s="6">
        <f t="shared" si="42"/>
        <v>2167.5163190969852</v>
      </c>
      <c r="AC26" s="6">
        <f t="shared" si="42"/>
        <v>2179.389867818416</v>
      </c>
      <c r="AD26" s="6">
        <f t="shared" si="42"/>
        <v>3000.7426006233136</v>
      </c>
      <c r="AH26" s="6">
        <f>+AH24-AH25</f>
        <v>2759</v>
      </c>
      <c r="AI26" s="6">
        <f t="shared" ref="AI26:AR26" si="43">+AI24-AI25</f>
        <v>3053</v>
      </c>
      <c r="AJ26" s="6">
        <f t="shared" si="43"/>
        <v>3220</v>
      </c>
      <c r="AK26" s="6">
        <f t="shared" si="43"/>
        <v>3624</v>
      </c>
      <c r="AL26" s="6">
        <f t="shared" si="43"/>
        <v>3672</v>
      </c>
      <c r="AM26" s="6">
        <f t="shared" si="43"/>
        <v>4111</v>
      </c>
      <c r="AN26" s="6">
        <f t="shared" si="43"/>
        <v>4480</v>
      </c>
      <c r="AO26" s="6">
        <f t="shared" si="43"/>
        <v>4737</v>
      </c>
      <c r="AP26" s="6">
        <f t="shared" si="43"/>
        <v>5435</v>
      </c>
      <c r="AQ26" s="6">
        <f t="shared" si="43"/>
        <v>6708</v>
      </c>
      <c r="AR26" s="6">
        <f t="shared" si="43"/>
        <v>7793</v>
      </c>
      <c r="AS26" s="6">
        <f>+AS24-AS25</f>
        <v>8114</v>
      </c>
      <c r="AT26" s="6">
        <f>+AT24-AT25</f>
        <v>9285</v>
      </c>
      <c r="AU26" s="6">
        <f>+AU24-AU25</f>
        <v>9527.0386553571298</v>
      </c>
      <c r="AV26" s="6">
        <f t="shared" ref="AV26:BE26" si="44">+AV24-AV25</f>
        <v>9455.7150804946577</v>
      </c>
      <c r="AW26" s="6">
        <f t="shared" si="44"/>
        <v>9644.8293821045518</v>
      </c>
      <c r="AX26" s="6">
        <f t="shared" si="44"/>
        <v>9837.7259697466397</v>
      </c>
      <c r="AY26" s="6">
        <f t="shared" si="44"/>
        <v>10034.480489141573</v>
      </c>
      <c r="AZ26" s="6">
        <f t="shared" si="44"/>
        <v>10235.170098924405</v>
      </c>
      <c r="BA26" s="6">
        <f t="shared" si="44"/>
        <v>10439.873500902897</v>
      </c>
      <c r="BB26" s="6">
        <f t="shared" si="44"/>
        <v>10648.67097092095</v>
      </c>
      <c r="BC26" s="6">
        <f t="shared" si="44"/>
        <v>10861.644390339374</v>
      </c>
      <c r="BD26" s="6">
        <f t="shared" si="44"/>
        <v>11078.877278146167</v>
      </c>
      <c r="BE26" s="6">
        <f t="shared" si="44"/>
        <v>11300.454823709089</v>
      </c>
    </row>
    <row r="27" spans="2:57" x14ac:dyDescent="0.25">
      <c r="B27" s="4" t="s">
        <v>47</v>
      </c>
      <c r="C27" s="6">
        <f>-36+22-10</f>
        <v>-24</v>
      </c>
      <c r="D27" s="6">
        <f>-34+46-12</f>
        <v>0</v>
      </c>
      <c r="E27" s="6">
        <f>-35+36-10</f>
        <v>-9</v>
      </c>
      <c r="F27" s="6">
        <f>AO27-C27-D27-E27</f>
        <v>16</v>
      </c>
      <c r="G27" s="6">
        <f>-38+35-12</f>
        <v>-15</v>
      </c>
      <c r="H27" s="6">
        <f>-34+45-16</f>
        <v>-5</v>
      </c>
      <c r="I27" s="6">
        <f>-37+21-14</f>
        <v>-30</v>
      </c>
      <c r="J27" s="6">
        <f>AP27-G27-H27-I27</f>
        <v>-75</v>
      </c>
      <c r="K27" s="6">
        <f>-39+29-15</f>
        <v>-25</v>
      </c>
      <c r="L27" s="6">
        <f>-40+19-20</f>
        <v>-41</v>
      </c>
      <c r="M27" s="6">
        <f>-40+27-13</f>
        <v>-26</v>
      </c>
      <c r="N27" s="6">
        <f>AQ27-K27-L27-M27</f>
        <v>-8</v>
      </c>
      <c r="O27" s="6">
        <f>-39+42-21</f>
        <v>-18</v>
      </c>
      <c r="P27" s="6">
        <f>-36+25-21</f>
        <v>-32</v>
      </c>
      <c r="Q27" s="6">
        <f>-35+71-19</f>
        <v>17</v>
      </c>
      <c r="R27" s="6">
        <f>AR27-O27-P27-Q27</f>
        <v>9</v>
      </c>
      <c r="S27" s="6">
        <f>-34+53</f>
        <v>19</v>
      </c>
      <c r="T27" s="6">
        <f>-34+114</f>
        <v>80</v>
      </c>
      <c r="U27" s="6">
        <f>-36+128</f>
        <v>92</v>
      </c>
      <c r="V27" s="6">
        <f>AS27-S27-T27-U27</f>
        <v>182</v>
      </c>
      <c r="W27" s="6">
        <f>-38+160</f>
        <v>122</v>
      </c>
      <c r="X27" s="6">
        <f>-41+216</f>
        <v>175</v>
      </c>
      <c r="Y27" s="6">
        <f>-41+128</f>
        <v>87</v>
      </c>
      <c r="Z27" s="6">
        <f>AT27-W27-X27-Y27</f>
        <v>71</v>
      </c>
      <c r="AA27" s="6">
        <f>AVERAGE($C$27:$Z$27)</f>
        <v>23.416666666666668</v>
      </c>
      <c r="AB27" s="6">
        <f t="shared" ref="AB27:AD27" si="45">AVERAGE($C$27:$Z$27)</f>
        <v>23.416666666666668</v>
      </c>
      <c r="AC27" s="6">
        <f t="shared" si="45"/>
        <v>23.416666666666668</v>
      </c>
      <c r="AD27" s="6">
        <f t="shared" si="45"/>
        <v>23.416666666666668</v>
      </c>
      <c r="AH27" s="6">
        <f>-95+103-58</f>
        <v>-50</v>
      </c>
      <c r="AI27" s="6">
        <f>-99+97-22</f>
        <v>-24</v>
      </c>
      <c r="AJ27" s="6">
        <f>-113+90-30</f>
        <v>-53</v>
      </c>
      <c r="AK27" s="6">
        <f>-124+104-32</f>
        <v>-52</v>
      </c>
      <c r="AL27" s="6">
        <f>-133+80-26</f>
        <v>-79</v>
      </c>
      <c r="AM27" s="6">
        <f>-134+62-35</f>
        <v>-107</v>
      </c>
      <c r="AN27" s="6">
        <f>-159+121-45</f>
        <v>-83</v>
      </c>
      <c r="AO27" s="6">
        <f>-150+178-45</f>
        <v>-17</v>
      </c>
      <c r="AP27" s="6">
        <f>-160+92-57</f>
        <v>-125</v>
      </c>
      <c r="AQ27" s="6">
        <f>-171+143-72</f>
        <v>-100</v>
      </c>
      <c r="AR27" s="6">
        <f>-158+205-71</f>
        <v>-24</v>
      </c>
      <c r="AS27" s="6">
        <f>533-160</f>
        <v>373</v>
      </c>
      <c r="AT27" s="6">
        <f>624-169</f>
        <v>455</v>
      </c>
      <c r="AU27" s="6">
        <f>SUM(AA27:AD27)</f>
        <v>93.666666666666671</v>
      </c>
      <c r="AV27" s="6">
        <f>AVERAGE($AP$27:$AU$27)</f>
        <v>112.1111111111111</v>
      </c>
      <c r="AW27" s="6">
        <f t="shared" ref="AW27:BE27" si="46">AVERAGE($AP$27:$AU$27)</f>
        <v>112.1111111111111</v>
      </c>
      <c r="AX27" s="6">
        <f t="shared" si="46"/>
        <v>112.1111111111111</v>
      </c>
      <c r="AY27" s="6">
        <f t="shared" si="46"/>
        <v>112.1111111111111</v>
      </c>
      <c r="AZ27" s="6">
        <f t="shared" si="46"/>
        <v>112.1111111111111</v>
      </c>
      <c r="BA27" s="6">
        <f t="shared" si="46"/>
        <v>112.1111111111111</v>
      </c>
      <c r="BB27" s="6">
        <f t="shared" si="46"/>
        <v>112.1111111111111</v>
      </c>
      <c r="BC27" s="6">
        <f t="shared" si="46"/>
        <v>112.1111111111111</v>
      </c>
      <c r="BD27" s="6">
        <f t="shared" si="46"/>
        <v>112.1111111111111</v>
      </c>
      <c r="BE27" s="6">
        <f t="shared" si="46"/>
        <v>112.1111111111111</v>
      </c>
    </row>
    <row r="28" spans="2:57" x14ac:dyDescent="0.25">
      <c r="B28" s="4" t="s">
        <v>48</v>
      </c>
      <c r="C28" s="6">
        <f>+C26+C27</f>
        <v>925</v>
      </c>
      <c r="D28" s="6">
        <f t="shared" ref="D28:AD28" si="47">+D26+D27</f>
        <v>1203</v>
      </c>
      <c r="E28" s="6">
        <f t="shared" si="47"/>
        <v>1113</v>
      </c>
      <c r="F28" s="6">
        <f t="shared" si="47"/>
        <v>1479</v>
      </c>
      <c r="G28" s="6">
        <f t="shared" si="47"/>
        <v>1046</v>
      </c>
      <c r="H28" s="6">
        <f t="shared" si="47"/>
        <v>1261</v>
      </c>
      <c r="I28" s="6">
        <f t="shared" si="47"/>
        <v>1149</v>
      </c>
      <c r="J28" s="6">
        <f t="shared" si="47"/>
        <v>1854</v>
      </c>
      <c r="K28" s="6">
        <f t="shared" si="47"/>
        <v>1405</v>
      </c>
      <c r="L28" s="6">
        <f t="shared" si="47"/>
        <v>1299</v>
      </c>
      <c r="M28" s="6">
        <f t="shared" si="47"/>
        <v>1637</v>
      </c>
      <c r="N28" s="6">
        <f t="shared" si="47"/>
        <v>2267</v>
      </c>
      <c r="O28" s="6">
        <f t="shared" si="47"/>
        <v>1675</v>
      </c>
      <c r="P28" s="6">
        <f t="shared" si="47"/>
        <v>1780</v>
      </c>
      <c r="Q28" s="6">
        <f t="shared" si="47"/>
        <v>1808</v>
      </c>
      <c r="R28" s="6">
        <f t="shared" si="47"/>
        <v>2506</v>
      </c>
      <c r="S28" s="6">
        <f t="shared" si="47"/>
        <v>1770</v>
      </c>
      <c r="T28" s="6">
        <f t="shared" si="47"/>
        <v>1983</v>
      </c>
      <c r="U28" s="6">
        <f t="shared" si="47"/>
        <v>1771</v>
      </c>
      <c r="V28" s="6">
        <f t="shared" si="47"/>
        <v>2963</v>
      </c>
      <c r="W28" s="6">
        <f t="shared" si="47"/>
        <v>2106</v>
      </c>
      <c r="X28" s="6">
        <f t="shared" si="47"/>
        <v>2237</v>
      </c>
      <c r="Y28" s="6">
        <f t="shared" si="47"/>
        <v>2284</v>
      </c>
      <c r="Z28" s="6">
        <f t="shared" si="47"/>
        <v>3113</v>
      </c>
      <c r="AA28" s="6">
        <f t="shared" si="47"/>
        <v>2202.8065344850825</v>
      </c>
      <c r="AB28" s="6">
        <f t="shared" si="47"/>
        <v>2190.9329857636517</v>
      </c>
      <c r="AC28" s="6">
        <f t="shared" si="47"/>
        <v>2202.8065344850825</v>
      </c>
      <c r="AD28" s="6">
        <f t="shared" si="47"/>
        <v>3024.1592672899801</v>
      </c>
      <c r="AH28" s="6">
        <f>+AH26+AH27</f>
        <v>2709</v>
      </c>
      <c r="AI28" s="6">
        <f t="shared" ref="AI28:AS28" si="48">+AI26+AI27</f>
        <v>3029</v>
      </c>
      <c r="AJ28" s="6">
        <f t="shared" si="48"/>
        <v>3167</v>
      </c>
      <c r="AK28" s="6">
        <f t="shared" si="48"/>
        <v>3572</v>
      </c>
      <c r="AL28" s="6">
        <f t="shared" si="48"/>
        <v>3593</v>
      </c>
      <c r="AM28" s="6">
        <f t="shared" si="48"/>
        <v>4004</v>
      </c>
      <c r="AN28" s="6">
        <f t="shared" si="48"/>
        <v>4397</v>
      </c>
      <c r="AO28" s="6">
        <f t="shared" si="48"/>
        <v>4720</v>
      </c>
      <c r="AP28" s="6">
        <f t="shared" si="48"/>
        <v>5310</v>
      </c>
      <c r="AQ28" s="6">
        <f t="shared" si="48"/>
        <v>6608</v>
      </c>
      <c r="AR28" s="6">
        <f t="shared" si="48"/>
        <v>7769</v>
      </c>
      <c r="AS28" s="6">
        <f t="shared" si="48"/>
        <v>8487</v>
      </c>
      <c r="AT28" s="6">
        <f>+AT26+AT27</f>
        <v>9740</v>
      </c>
      <c r="AU28" s="6">
        <f>+AU26+AU27</f>
        <v>9620.7053220237958</v>
      </c>
      <c r="AV28" s="6">
        <f t="shared" ref="AV28:BE28" si="49">+AV26+AV27</f>
        <v>9567.8261916057691</v>
      </c>
      <c r="AW28" s="6">
        <f t="shared" si="49"/>
        <v>9756.9404932156631</v>
      </c>
      <c r="AX28" s="6">
        <f t="shared" si="49"/>
        <v>9949.8370808577511</v>
      </c>
      <c r="AY28" s="6">
        <f t="shared" si="49"/>
        <v>10146.591600252685</v>
      </c>
      <c r="AZ28" s="6">
        <f t="shared" si="49"/>
        <v>10347.281210035517</v>
      </c>
      <c r="BA28" s="6">
        <f t="shared" si="49"/>
        <v>10551.984612014008</v>
      </c>
      <c r="BB28" s="6">
        <f t="shared" si="49"/>
        <v>10760.782082032061</v>
      </c>
      <c r="BC28" s="6">
        <f t="shared" si="49"/>
        <v>10973.755501450485</v>
      </c>
      <c r="BD28" s="6">
        <f t="shared" si="49"/>
        <v>11190.988389257278</v>
      </c>
      <c r="BE28" s="6">
        <f t="shared" si="49"/>
        <v>11412.565934820201</v>
      </c>
    </row>
    <row r="29" spans="2:57" x14ac:dyDescent="0.25">
      <c r="B29" s="4" t="s">
        <v>49</v>
      </c>
      <c r="C29" s="6">
        <v>158</v>
      </c>
      <c r="D29" s="6">
        <v>314</v>
      </c>
      <c r="E29" s="6">
        <v>207</v>
      </c>
      <c r="F29" s="6">
        <f>AO29-C29-D29-E29</f>
        <v>382</v>
      </c>
      <c r="G29" s="6">
        <v>202</v>
      </c>
      <c r="H29" s="6">
        <v>330</v>
      </c>
      <c r="I29" s="6">
        <v>311</v>
      </c>
      <c r="J29" s="6">
        <f>AP29-G29-H29-I29</f>
        <v>465</v>
      </c>
      <c r="K29" s="6">
        <v>239</v>
      </c>
      <c r="L29" s="6">
        <v>348</v>
      </c>
      <c r="M29" s="6">
        <v>417</v>
      </c>
      <c r="N29" s="6">
        <f>AQ29-K29-L29-M29</f>
        <v>597</v>
      </c>
      <c r="O29" s="6">
        <v>351</v>
      </c>
      <c r="P29" s="6">
        <v>481</v>
      </c>
      <c r="Q29" s="6">
        <v>455</v>
      </c>
      <c r="R29" s="6">
        <f>AR29-O29-P29-Q29</f>
        <v>638</v>
      </c>
      <c r="S29" s="6">
        <v>406</v>
      </c>
      <c r="T29" s="6">
        <v>517</v>
      </c>
      <c r="U29" s="6">
        <v>469</v>
      </c>
      <c r="V29" s="6">
        <f>AS29-S29-T29-U29</f>
        <v>803</v>
      </c>
      <c r="W29" s="6">
        <v>517</v>
      </c>
      <c r="X29" s="6">
        <v>494</v>
      </c>
      <c r="Y29" s="6">
        <v>603</v>
      </c>
      <c r="Z29" s="6">
        <f>AT29-W29-X29-Y29</f>
        <v>759</v>
      </c>
      <c r="AA29" s="19">
        <f>AA28*AVERAGE($W$41:$Z$41)</f>
        <v>536.4645160180562</v>
      </c>
      <c r="AB29" s="19">
        <f t="shared" ref="AB29:AD29" si="50">AB28*AVERAGE($W$41:$Z$41)</f>
        <v>533.57286962581043</v>
      </c>
      <c r="AC29" s="19">
        <f t="shared" si="50"/>
        <v>536.4645160180562</v>
      </c>
      <c r="AD29" s="19">
        <f t="shared" si="50"/>
        <v>736.49415520163802</v>
      </c>
      <c r="AH29" s="6">
        <v>1000</v>
      </c>
      <c r="AI29" s="6">
        <v>990</v>
      </c>
      <c r="AJ29" s="6">
        <v>1109</v>
      </c>
      <c r="AK29" s="6">
        <v>1195</v>
      </c>
      <c r="AL29" s="6">
        <v>1243</v>
      </c>
      <c r="AM29" s="6">
        <v>1325</v>
      </c>
      <c r="AN29" s="6">
        <v>1263</v>
      </c>
      <c r="AO29" s="6">
        <v>1061</v>
      </c>
      <c r="AP29" s="6">
        <v>1308</v>
      </c>
      <c r="AQ29" s="6">
        <v>1601</v>
      </c>
      <c r="AR29" s="6">
        <v>1925</v>
      </c>
      <c r="AS29" s="6">
        <v>2195</v>
      </c>
      <c r="AT29" s="6">
        <v>2373</v>
      </c>
      <c r="AU29" s="6">
        <f>SUM(AA29:AD29)</f>
        <v>2342.9960568635606</v>
      </c>
      <c r="AV29" s="6">
        <f>+AV28*AU41</f>
        <v>2330.1180411762712</v>
      </c>
      <c r="AW29" s="6">
        <f t="shared" ref="AW29:BE29" si="51">+AW28*AV41</f>
        <v>2376.1743383122152</v>
      </c>
      <c r="AX29" s="6">
        <f t="shared" si="51"/>
        <v>2423.1517613908773</v>
      </c>
      <c r="AY29" s="6">
        <f t="shared" si="51"/>
        <v>2471.0687329311136</v>
      </c>
      <c r="AZ29" s="6">
        <f t="shared" si="51"/>
        <v>2519.9440439021546</v>
      </c>
      <c r="BA29" s="6">
        <f t="shared" si="51"/>
        <v>2569.7968610926173</v>
      </c>
      <c r="BB29" s="6">
        <f t="shared" si="51"/>
        <v>2620.6467346268869</v>
      </c>
      <c r="BC29" s="6">
        <f t="shared" si="51"/>
        <v>2672.5136056318443</v>
      </c>
      <c r="BD29" s="6">
        <f t="shared" si="51"/>
        <v>2725.4178140569011</v>
      </c>
      <c r="BE29" s="6">
        <f t="shared" si="51"/>
        <v>2779.3801066504575</v>
      </c>
    </row>
    <row r="30" spans="2:57" x14ac:dyDescent="0.25">
      <c r="B30" s="4" t="s">
        <v>50</v>
      </c>
      <c r="C30" s="17">
        <f>+C28-C29</f>
        <v>767</v>
      </c>
      <c r="D30" s="17">
        <f>+D28-D29</f>
        <v>889</v>
      </c>
      <c r="E30" s="17">
        <f>+E28-E29</f>
        <v>906</v>
      </c>
      <c r="F30" s="17">
        <f t="shared" ref="D30:V30" si="52">+F28-F29</f>
        <v>1097</v>
      </c>
      <c r="G30" s="17">
        <f t="shared" si="52"/>
        <v>844</v>
      </c>
      <c r="H30" s="17">
        <f t="shared" si="52"/>
        <v>931</v>
      </c>
      <c r="I30" s="17">
        <f t="shared" si="52"/>
        <v>838</v>
      </c>
      <c r="J30" s="17">
        <f t="shared" si="52"/>
        <v>1389</v>
      </c>
      <c r="K30" s="17">
        <f t="shared" si="52"/>
        <v>1166</v>
      </c>
      <c r="L30" s="17">
        <f t="shared" si="52"/>
        <v>951</v>
      </c>
      <c r="M30" s="17">
        <f t="shared" si="52"/>
        <v>1220</v>
      </c>
      <c r="N30" s="17">
        <f t="shared" si="52"/>
        <v>1670</v>
      </c>
      <c r="O30" s="17">
        <f t="shared" si="52"/>
        <v>1324</v>
      </c>
      <c r="P30" s="17">
        <f t="shared" si="52"/>
        <v>1299</v>
      </c>
      <c r="Q30" s="17">
        <f t="shared" si="52"/>
        <v>1353</v>
      </c>
      <c r="R30" s="17">
        <f t="shared" si="52"/>
        <v>1868</v>
      </c>
      <c r="S30" s="17">
        <f t="shared" si="52"/>
        <v>1364</v>
      </c>
      <c r="T30" s="17">
        <f t="shared" si="52"/>
        <v>1466</v>
      </c>
      <c r="U30" s="17">
        <f t="shared" si="52"/>
        <v>1302</v>
      </c>
      <c r="V30" s="17">
        <f t="shared" si="52"/>
        <v>2160</v>
      </c>
      <c r="W30" s="17">
        <f>+W28-W29</f>
        <v>1589</v>
      </c>
      <c r="X30" s="17">
        <f>+X28-X29</f>
        <v>1743</v>
      </c>
      <c r="Y30" s="17">
        <f t="shared" ref="Y30:AD30" si="53">+Y28-Y29</f>
        <v>1681</v>
      </c>
      <c r="Z30" s="17">
        <f t="shared" si="53"/>
        <v>2354</v>
      </c>
      <c r="AA30" s="17">
        <f t="shared" si="53"/>
        <v>1666.3420184670263</v>
      </c>
      <c r="AB30" s="17">
        <f t="shared" si="53"/>
        <v>1657.3601161378413</v>
      </c>
      <c r="AC30" s="17">
        <f t="shared" si="53"/>
        <v>1666.3420184670263</v>
      </c>
      <c r="AD30" s="17">
        <f t="shared" si="53"/>
        <v>2287.6651120883421</v>
      </c>
      <c r="AH30" s="6">
        <f>+AH28-AH29</f>
        <v>1709</v>
      </c>
      <c r="AI30" s="6">
        <f t="shared" ref="AI30:AS30" si="54">+AI28-AI29</f>
        <v>2039</v>
      </c>
      <c r="AJ30" s="6">
        <f t="shared" si="54"/>
        <v>2058</v>
      </c>
      <c r="AK30" s="6">
        <f t="shared" si="54"/>
        <v>2377</v>
      </c>
      <c r="AL30" s="6">
        <f t="shared" si="54"/>
        <v>2350</v>
      </c>
      <c r="AM30" s="6">
        <f t="shared" si="54"/>
        <v>2679</v>
      </c>
      <c r="AN30" s="6">
        <f t="shared" si="54"/>
        <v>3134</v>
      </c>
      <c r="AO30" s="6">
        <f t="shared" si="54"/>
        <v>3659</v>
      </c>
      <c r="AP30" s="6">
        <f t="shared" si="54"/>
        <v>4002</v>
      </c>
      <c r="AQ30" s="6">
        <f t="shared" si="54"/>
        <v>5007</v>
      </c>
      <c r="AR30" s="6">
        <f t="shared" si="54"/>
        <v>5844</v>
      </c>
      <c r="AS30" s="6">
        <f t="shared" si="54"/>
        <v>6292</v>
      </c>
      <c r="AT30" s="6">
        <f>+AT28-AT29</f>
        <v>7367</v>
      </c>
      <c r="AU30" s="6">
        <f>+AU28-AU29</f>
        <v>7277.7092651602352</v>
      </c>
      <c r="AV30" s="6">
        <f t="shared" ref="AV30:BE30" si="55">+AV28-AV29</f>
        <v>7237.7081504294983</v>
      </c>
      <c r="AW30" s="6">
        <f t="shared" si="55"/>
        <v>7380.7661549034474</v>
      </c>
      <c r="AX30" s="6">
        <f t="shared" si="55"/>
        <v>7526.6853194668738</v>
      </c>
      <c r="AY30" s="6">
        <f t="shared" si="55"/>
        <v>7675.5228673215715</v>
      </c>
      <c r="AZ30" s="6">
        <f t="shared" si="55"/>
        <v>7827.3371661333622</v>
      </c>
      <c r="BA30" s="6">
        <f t="shared" si="55"/>
        <v>7982.1877509213909</v>
      </c>
      <c r="BB30" s="6">
        <f t="shared" si="55"/>
        <v>8140.1353474051739</v>
      </c>
      <c r="BC30" s="6">
        <f t="shared" si="55"/>
        <v>8301.2418958186408</v>
      </c>
      <c r="BD30" s="6">
        <f t="shared" si="55"/>
        <v>8465.5705752003778</v>
      </c>
      <c r="BE30" s="6">
        <f t="shared" si="55"/>
        <v>8633.1858281697423</v>
      </c>
    </row>
    <row r="31" spans="2:57" x14ac:dyDescent="0.25">
      <c r="B31" s="5" t="s">
        <v>51</v>
      </c>
      <c r="C31" s="10">
        <f>+C30/C32</f>
        <v>1.732358514643737</v>
      </c>
      <c r="D31" s="10">
        <f>+D30/D32</f>
        <v>2.0097798737161936</v>
      </c>
      <c r="E31" s="10">
        <f>+E30/E32</f>
        <v>2.046800800647024</v>
      </c>
      <c r="F31" s="10">
        <f>+F30/F32</f>
        <v>2.4767284607031019</v>
      </c>
      <c r="G31" s="10">
        <f>+G30/G32</f>
        <v>1.9022719076812116</v>
      </c>
      <c r="H31" s="10">
        <f>+H30/H32</f>
        <v>2.0981369175191054</v>
      </c>
      <c r="I31" s="10">
        <f>+I30/I32</f>
        <v>1.8880039652589247</v>
      </c>
      <c r="J31" s="10">
        <f>+J30/J32</f>
        <v>3.1290760777740982</v>
      </c>
      <c r="K31" s="10">
        <f>+K30/K32</f>
        <v>2.6238450356221841</v>
      </c>
      <c r="L31" s="10">
        <f>+L30/L32</f>
        <v>2.1395114444739409</v>
      </c>
      <c r="M31" s="10">
        <f>+M30/M32</f>
        <v>2.7469620176210858</v>
      </c>
      <c r="N31" s="10">
        <f>+N30/N32</f>
        <v>3.7583324706422472</v>
      </c>
      <c r="O31" s="10">
        <f>+O30/O32</f>
        <v>2.9779309227987154</v>
      </c>
      <c r="P31" s="10">
        <f>+P30/P32</f>
        <v>2.9196522489638492</v>
      </c>
      <c r="Q31" s="10">
        <f>+Q30/Q32</f>
        <v>3.0412285394460601</v>
      </c>
      <c r="R31" s="10">
        <f>+R30/R32</f>
        <v>4.2000463174272689</v>
      </c>
      <c r="S31" s="10">
        <f>+S30/S32</f>
        <v>3.0684024286270248</v>
      </c>
      <c r="T31" s="10">
        <f>+T30/T32</f>
        <v>3.2982732437144944</v>
      </c>
      <c r="U31" s="10">
        <f>+U30/U32</f>
        <v>2.9300567107750473</v>
      </c>
      <c r="V31" s="10">
        <f>+V30/V32</f>
        <v>4.8599173814045162</v>
      </c>
      <c r="W31" s="10">
        <f>+W30/W32</f>
        <v>3.575583423154209</v>
      </c>
      <c r="X31" s="10">
        <f>+X30/X32</f>
        <v>3.9190204022898052</v>
      </c>
      <c r="Y31" s="10">
        <f>+Y30/Y32</f>
        <v>3.7789887327236595</v>
      </c>
      <c r="Z31" s="10">
        <f>+Z30/Z32</f>
        <v>5.2927540533187631</v>
      </c>
      <c r="AA31" s="10">
        <f>+AA30/AA32</f>
        <v>3.746617872751369</v>
      </c>
      <c r="AB31" s="10">
        <f>+AB30/AB32</f>
        <v>3.7264228855129211</v>
      </c>
      <c r="AC31" s="10">
        <f>+AC30/AC32</f>
        <v>3.746617872751369</v>
      </c>
      <c r="AD31" s="10">
        <f>+AD30/AD32</f>
        <v>5.1436061149708987</v>
      </c>
      <c r="AH31" s="10">
        <f>AH30/AH32</f>
        <v>3.8896336370236679</v>
      </c>
      <c r="AI31" s="10">
        <f t="shared" ref="AI31:AS31" si="56">AI30/AI32</f>
        <v>4.6287047798924883</v>
      </c>
      <c r="AJ31" s="10">
        <f t="shared" si="56"/>
        <v>4.6510051188175865</v>
      </c>
      <c r="AK31" s="10">
        <f t="shared" si="56"/>
        <v>5.3691305487039092</v>
      </c>
      <c r="AL31" s="10">
        <f t="shared" si="56"/>
        <v>5.3256221346453252</v>
      </c>
      <c r="AM31" s="10">
        <f t="shared" si="56"/>
        <v>6.075697888814048</v>
      </c>
      <c r="AN31" s="10">
        <f t="shared" si="56"/>
        <v>7.0931616851577743</v>
      </c>
      <c r="AO31" s="10">
        <f t="shared" si="56"/>
        <v>8.2610295694737008</v>
      </c>
      <c r="AP31" s="10">
        <f t="shared" si="56"/>
        <v>9.0155237316428654</v>
      </c>
      <c r="AQ31" s="10">
        <f t="shared" si="56"/>
        <v>11.268245916470498</v>
      </c>
      <c r="AR31" s="10">
        <f t="shared" si="56"/>
        <v>13.139759464156832</v>
      </c>
      <c r="AS31" s="10">
        <f t="shared" si="56"/>
        <v>14.156759335091303</v>
      </c>
      <c r="AT31" s="10">
        <f>AT30/AT32</f>
        <v>16.564026810025204</v>
      </c>
      <c r="AU31" s="10">
        <f>AU30/AU32</f>
        <v>16.363264745986555</v>
      </c>
      <c r="AV31" s="10">
        <f t="shared" ref="AV31:BE31" si="57">AV30/AV32</f>
        <v>16.273325892066261</v>
      </c>
      <c r="AW31" s="10">
        <f t="shared" si="57"/>
        <v>16.594978752320802</v>
      </c>
      <c r="AX31" s="10">
        <f t="shared" si="57"/>
        <v>16.923064669780427</v>
      </c>
      <c r="AY31" s="10">
        <f t="shared" si="57"/>
        <v>17.257712305589255</v>
      </c>
      <c r="AZ31" s="10">
        <f t="shared" si="57"/>
        <v>17.599052894114255</v>
      </c>
      <c r="BA31" s="10">
        <f t="shared" si="57"/>
        <v>17.94722029440976</v>
      </c>
      <c r="BB31" s="10">
        <f t="shared" si="57"/>
        <v>18.302351042711162</v>
      </c>
      <c r="BC31" s="10">
        <f t="shared" si="57"/>
        <v>18.664584405978609</v>
      </c>
      <c r="BD31" s="10">
        <f t="shared" si="57"/>
        <v>19.034062436511409</v>
      </c>
      <c r="BE31" s="10">
        <f t="shared" si="57"/>
        <v>19.410930027654846</v>
      </c>
    </row>
    <row r="32" spans="2:57" s="11" customFormat="1" x14ac:dyDescent="0.25">
      <c r="B32" s="12" t="s">
        <v>52</v>
      </c>
      <c r="C32" s="11">
        <v>442.74900000000002</v>
      </c>
      <c r="D32" s="11">
        <v>442.33699999999999</v>
      </c>
      <c r="E32" s="11">
        <v>442.642</v>
      </c>
      <c r="F32" s="11">
        <v>442.923</v>
      </c>
      <c r="G32" s="11">
        <v>443.68</v>
      </c>
      <c r="H32" s="11">
        <v>443.72699999999998</v>
      </c>
      <c r="I32" s="11">
        <v>443.85500000000002</v>
      </c>
      <c r="J32" s="11">
        <v>443.90100000000001</v>
      </c>
      <c r="K32" s="11">
        <v>444.38600000000002</v>
      </c>
      <c r="L32" s="11">
        <v>444.49400000000003</v>
      </c>
      <c r="M32" s="11">
        <v>444.12700000000001</v>
      </c>
      <c r="N32" s="11">
        <v>444.346</v>
      </c>
      <c r="O32" s="11">
        <v>444.60399999999998</v>
      </c>
      <c r="P32" s="11">
        <v>444.916</v>
      </c>
      <c r="Q32" s="11">
        <v>444.88600000000002</v>
      </c>
      <c r="R32" s="11">
        <v>444.75700000000001</v>
      </c>
      <c r="S32" s="11">
        <v>444.53100000000001</v>
      </c>
      <c r="T32" s="11">
        <v>444.47500000000002</v>
      </c>
      <c r="U32" s="11">
        <v>444.36</v>
      </c>
      <c r="V32" s="11">
        <v>444.452</v>
      </c>
      <c r="W32" s="11">
        <v>444.40300000000002</v>
      </c>
      <c r="X32" s="11">
        <v>444.75400000000002</v>
      </c>
      <c r="Y32" s="11">
        <v>444.82799999999997</v>
      </c>
      <c r="Z32" s="11">
        <v>444.75900000000001</v>
      </c>
      <c r="AA32" s="11">
        <v>444.75900000000001</v>
      </c>
      <c r="AB32" s="11">
        <v>444.75900000000001</v>
      </c>
      <c r="AC32" s="11">
        <v>444.75900000000001</v>
      </c>
      <c r="AD32" s="11">
        <v>444.75900000000001</v>
      </c>
      <c r="AH32" s="11">
        <v>439.37299999999999</v>
      </c>
      <c r="AI32" s="11">
        <v>440.512</v>
      </c>
      <c r="AJ32" s="11">
        <v>442.48500000000001</v>
      </c>
      <c r="AK32" s="11">
        <v>442.71600000000001</v>
      </c>
      <c r="AL32" s="11">
        <v>441.26299999999998</v>
      </c>
      <c r="AM32" s="11">
        <v>440.93700000000001</v>
      </c>
      <c r="AN32" s="11">
        <v>441.834</v>
      </c>
      <c r="AO32" s="11">
        <v>442.923</v>
      </c>
      <c r="AP32" s="11">
        <v>443.90100000000001</v>
      </c>
      <c r="AQ32" s="11">
        <v>444.346</v>
      </c>
      <c r="AR32" s="11">
        <v>444.75700000000001</v>
      </c>
      <c r="AS32" s="11">
        <v>444.452</v>
      </c>
      <c r="AT32" s="11">
        <v>444.75900000000001</v>
      </c>
      <c r="AU32" s="11">
        <v>444.75900000000001</v>
      </c>
      <c r="AV32" s="11">
        <v>444.75900000000001</v>
      </c>
      <c r="AW32" s="11">
        <v>444.75900000000001</v>
      </c>
      <c r="AX32" s="11">
        <v>444.75900000000001</v>
      </c>
      <c r="AY32" s="11">
        <v>444.75900000000001</v>
      </c>
      <c r="AZ32" s="11">
        <v>444.75900000000001</v>
      </c>
      <c r="BA32" s="11">
        <v>444.75900000000001</v>
      </c>
      <c r="BB32" s="11">
        <v>444.75900000000001</v>
      </c>
      <c r="BC32" s="11">
        <v>444.75900000000001</v>
      </c>
      <c r="BD32" s="11">
        <v>444.75900000000001</v>
      </c>
      <c r="BE32" s="11">
        <v>444.75900000000001</v>
      </c>
    </row>
    <row r="34" spans="2:57" s="7" customFormat="1" x14ac:dyDescent="0.25">
      <c r="B34" s="5" t="s">
        <v>53</v>
      </c>
      <c r="G34" s="15">
        <f>+G22/C22-1</f>
        <v>5.6203484559012251E-2</v>
      </c>
      <c r="H34" s="15">
        <f t="shared" ref="H34:AD34" si="58">+H22/D22-1</f>
        <v>0.10385354277319481</v>
      </c>
      <c r="I34" s="15">
        <f t="shared" si="58"/>
        <v>7.2711571675302178E-2</v>
      </c>
      <c r="J34" s="15">
        <f t="shared" si="58"/>
        <v>0.12389995368226026</v>
      </c>
      <c r="K34" s="15">
        <f t="shared" si="58"/>
        <v>0.16652267818574518</v>
      </c>
      <c r="L34" s="15">
        <f t="shared" si="58"/>
        <v>0.14580773955773951</v>
      </c>
      <c r="M34" s="15">
        <f t="shared" si="58"/>
        <v>0.21496806740728824</v>
      </c>
      <c r="N34" s="15">
        <f t="shared" si="58"/>
        <v>0.17406290392072377</v>
      </c>
      <c r="O34" s="15">
        <f t="shared" si="58"/>
        <v>0.16559433438252169</v>
      </c>
      <c r="P34" s="15">
        <f t="shared" si="58"/>
        <v>0.15937367374745914</v>
      </c>
      <c r="Q34" s="15">
        <f t="shared" si="58"/>
        <v>0.16164940256642435</v>
      </c>
      <c r="R34" s="15">
        <f t="shared" si="58"/>
        <v>0.15023534104507386</v>
      </c>
      <c r="S34" s="15">
        <f t="shared" si="58"/>
        <v>8.0892718861068635E-2</v>
      </c>
      <c r="T34" s="15">
        <f t="shared" si="58"/>
        <v>6.4773427866831046E-2</v>
      </c>
      <c r="U34" s="15">
        <f t="shared" si="58"/>
        <v>2.0001521028215175E-2</v>
      </c>
      <c r="V34" s="15">
        <f t="shared" si="58"/>
        <v>9.4991052974712442E-2</v>
      </c>
      <c r="W34" s="15">
        <f t="shared" si="58"/>
        <v>6.1759465069713526E-2</v>
      </c>
      <c r="X34" s="15">
        <f t="shared" si="58"/>
        <v>5.7467520717982223E-2</v>
      </c>
      <c r="Y34" s="15">
        <f t="shared" si="58"/>
        <v>9.0720996122874986E-2</v>
      </c>
      <c r="Z34" s="15">
        <f t="shared" si="58"/>
        <v>9.6023511825586993E-3</v>
      </c>
      <c r="AA34" s="15">
        <f t="shared" si="58"/>
        <v>3.0000000000000027E-2</v>
      </c>
      <c r="AB34" s="15">
        <f t="shared" si="58"/>
        <v>3.0000000000000027E-2</v>
      </c>
      <c r="AC34" s="15">
        <f t="shared" si="58"/>
        <v>3.0000000000000027E-2</v>
      </c>
      <c r="AD34" s="15">
        <f t="shared" si="58"/>
        <v>3.0000000000000027E-2</v>
      </c>
      <c r="AH34" s="15">
        <f>+AH22/AG22-1</f>
        <v>0.1149637294044874</v>
      </c>
      <c r="AI34" s="15">
        <f t="shared" ref="AI34:AS34" si="59">+AI22/AH22-1</f>
        <v>6.0713961487638413E-2</v>
      </c>
      <c r="AJ34" s="15">
        <f t="shared" si="59"/>
        <v>7.117045151964696E-2</v>
      </c>
      <c r="AK34" s="15">
        <f t="shared" si="59"/>
        <v>3.1596235795454453E-2</v>
      </c>
      <c r="AL34" s="15">
        <f t="shared" si="59"/>
        <v>2.1686933622492521E-2</v>
      </c>
      <c r="AM34" s="15">
        <f t="shared" si="59"/>
        <v>8.6810030407937999E-2</v>
      </c>
      <c r="AN34" s="15">
        <f t="shared" si="59"/>
        <v>9.7275721759348954E-2</v>
      </c>
      <c r="AO34" s="15">
        <f t="shared" si="59"/>
        <v>7.8593829462620723E-2</v>
      </c>
      <c r="AP34" s="15">
        <f t="shared" si="59"/>
        <v>9.2061059704131587E-2</v>
      </c>
      <c r="AQ34" s="15">
        <f t="shared" si="59"/>
        <v>0.17490900150514799</v>
      </c>
      <c r="AR34" s="15">
        <f t="shared" si="59"/>
        <v>0.15834817714580285</v>
      </c>
      <c r="AS34" s="15">
        <f t="shared" si="59"/>
        <v>6.7573164606043568E-2</v>
      </c>
      <c r="AT34" s="15">
        <f>+AT22/AS22-1</f>
        <v>5.0200173345990251E-2</v>
      </c>
      <c r="AU34" s="15">
        <f t="shared" ref="AU34:BE34" si="60">+AU22/AT22-1</f>
        <v>3.0000000000000027E-2</v>
      </c>
      <c r="AV34" s="15">
        <f t="shared" si="60"/>
        <v>2.9999999999999805E-2</v>
      </c>
      <c r="AW34" s="15">
        <f t="shared" si="60"/>
        <v>2.000000000000024E-2</v>
      </c>
      <c r="AX34" s="15">
        <f t="shared" si="60"/>
        <v>1.9999999999999796E-2</v>
      </c>
      <c r="AY34" s="15">
        <f t="shared" si="60"/>
        <v>2.0000000000000018E-2</v>
      </c>
      <c r="AZ34" s="15">
        <f t="shared" si="60"/>
        <v>2.0000000000000018E-2</v>
      </c>
      <c r="BA34" s="15">
        <f t="shared" si="60"/>
        <v>2.000000000000024E-2</v>
      </c>
      <c r="BB34" s="15">
        <f t="shared" si="60"/>
        <v>2.0000000000000018E-2</v>
      </c>
      <c r="BC34" s="15">
        <f t="shared" si="60"/>
        <v>2.0000000000000018E-2</v>
      </c>
      <c r="BD34" s="15">
        <f t="shared" si="60"/>
        <v>2.0000000000000018E-2</v>
      </c>
      <c r="BE34" s="15">
        <f t="shared" si="60"/>
        <v>1.9999999999999796E-2</v>
      </c>
    </row>
    <row r="35" spans="2:57" s="7" customFormat="1" x14ac:dyDescent="0.25">
      <c r="B35" s="5" t="s">
        <v>55</v>
      </c>
      <c r="G35" s="15">
        <f>+G20/C20-1</f>
        <v>5.6104456296814487E-2</v>
      </c>
      <c r="H35" s="15">
        <f t="shared" ref="H35:AD35" si="61">+H20/D20-1</f>
        <v>0.10477070578722425</v>
      </c>
      <c r="I35" s="15">
        <f t="shared" si="61"/>
        <v>7.3224590743139695E-2</v>
      </c>
      <c r="J35" s="15">
        <f t="shared" si="61"/>
        <v>0.1254951774026869</v>
      </c>
      <c r="K35" s="15">
        <f t="shared" si="61"/>
        <v>0.16864444199138973</v>
      </c>
      <c r="L35" s="15">
        <f t="shared" si="61"/>
        <v>0.14721873693015475</v>
      </c>
      <c r="M35" s="15">
        <f t="shared" si="61"/>
        <v>0.21741516007791284</v>
      </c>
      <c r="N35" s="15">
        <f t="shared" si="61"/>
        <v>0.17529697572546254</v>
      </c>
      <c r="O35" s="15">
        <f t="shared" si="61"/>
        <v>0.1669539754882281</v>
      </c>
      <c r="P35" s="15">
        <f t="shared" si="61"/>
        <v>0.16061337951148369</v>
      </c>
      <c r="Q35" s="15">
        <f t="shared" si="61"/>
        <v>0.16306111411573831</v>
      </c>
      <c r="R35" s="15">
        <f t="shared" si="61"/>
        <v>0.15173906674696047</v>
      </c>
      <c r="S35" s="15">
        <f t="shared" si="61"/>
        <v>8.1348523787360572E-2</v>
      </c>
      <c r="T35" s="15">
        <f t="shared" si="61"/>
        <v>6.4825176198048506E-2</v>
      </c>
      <c r="U35" s="15">
        <f t="shared" si="61"/>
        <v>1.9220336355886269E-2</v>
      </c>
      <c r="V35" s="15">
        <f t="shared" si="61"/>
        <v>9.4200440902153737E-2</v>
      </c>
      <c r="W35" s="15">
        <f t="shared" si="61"/>
        <v>6.1380691281321953E-2</v>
      </c>
      <c r="X35" s="15">
        <f t="shared" si="61"/>
        <v>5.7006950718117899E-2</v>
      </c>
      <c r="Y35" s="15">
        <f t="shared" si="61"/>
        <v>9.1019694319823596E-2</v>
      </c>
      <c r="Z35" s="15">
        <f t="shared" si="61"/>
        <v>9.7507426062248825E-3</v>
      </c>
      <c r="AA35" s="15">
        <f t="shared" si="61"/>
        <v>3.0000000000000027E-2</v>
      </c>
      <c r="AB35" s="15">
        <f t="shared" si="61"/>
        <v>3.0000000000000027E-2</v>
      </c>
      <c r="AC35" s="15">
        <f t="shared" si="61"/>
        <v>3.0000000000000027E-2</v>
      </c>
      <c r="AD35" s="15">
        <f t="shared" si="61"/>
        <v>3.0000000000000027E-2</v>
      </c>
      <c r="AH35" s="15">
        <f>AH20/AG20-1</f>
        <v>0.11503997794320364</v>
      </c>
      <c r="AI35" s="15">
        <f t="shared" ref="AI35:AS35" si="62">AI20/AH20-1</f>
        <v>5.9838041664090902E-2</v>
      </c>
      <c r="AJ35" s="15">
        <f t="shared" si="62"/>
        <v>7.137163410129288E-2</v>
      </c>
      <c r="AK35" s="15">
        <f t="shared" si="62"/>
        <v>3.1339600043552407E-2</v>
      </c>
      <c r="AL35" s="15">
        <f t="shared" si="62"/>
        <v>2.1176077279045691E-2</v>
      </c>
      <c r="AM35" s="15">
        <f t="shared" si="62"/>
        <v>8.7005591308917607E-2</v>
      </c>
      <c r="AN35" s="15">
        <f t="shared" si="62"/>
        <v>9.7184795358716602E-2</v>
      </c>
      <c r="AO35" s="15">
        <f t="shared" si="62"/>
        <v>7.8860684513919921E-2</v>
      </c>
      <c r="AP35" s="15">
        <f t="shared" si="62"/>
        <v>9.2861781976685709E-2</v>
      </c>
      <c r="AQ35" s="15">
        <f t="shared" si="62"/>
        <v>0.17664501899277041</v>
      </c>
      <c r="AR35" s="15">
        <f t="shared" si="62"/>
        <v>0.15973798762835067</v>
      </c>
      <c r="AS35" s="15">
        <f t="shared" si="62"/>
        <v>6.72563193103759E-2</v>
      </c>
      <c r="AT35" s="15">
        <f>AT20/AS20-1</f>
        <v>5.0124100795086557E-2</v>
      </c>
      <c r="AU35" s="15">
        <f t="shared" ref="AU35:BE35" si="63">AU20/AT20-1</f>
        <v>3.0000000000000027E-2</v>
      </c>
      <c r="AV35" s="15">
        <f t="shared" si="63"/>
        <v>2.9999999999999805E-2</v>
      </c>
      <c r="AW35" s="15">
        <f t="shared" si="63"/>
        <v>2.000000000000024E-2</v>
      </c>
      <c r="AX35" s="15">
        <f t="shared" si="63"/>
        <v>1.9999999999999796E-2</v>
      </c>
      <c r="AY35" s="15">
        <f t="shared" si="63"/>
        <v>2.000000000000024E-2</v>
      </c>
      <c r="AZ35" s="15">
        <f t="shared" si="63"/>
        <v>2.0000000000000018E-2</v>
      </c>
      <c r="BA35" s="15">
        <f t="shared" si="63"/>
        <v>2.000000000000024E-2</v>
      </c>
      <c r="BB35" s="15">
        <f t="shared" si="63"/>
        <v>2.0000000000000018E-2</v>
      </c>
      <c r="BC35" s="15">
        <f t="shared" si="63"/>
        <v>2.0000000000000018E-2</v>
      </c>
      <c r="BD35" s="15">
        <f t="shared" si="63"/>
        <v>2.0000000000000018E-2</v>
      </c>
      <c r="BE35" s="15">
        <f t="shared" si="63"/>
        <v>2.0000000000000018E-2</v>
      </c>
    </row>
    <row r="36" spans="2:57" s="7" customFormat="1" x14ac:dyDescent="0.25">
      <c r="B36" s="5" t="s">
        <v>54</v>
      </c>
      <c r="G36" s="15">
        <f>G21/C21-1</f>
        <v>6.0686015831134643E-2</v>
      </c>
      <c r="H36" s="15">
        <f t="shared" ref="H36:AD36" si="64">H21/D21-1</f>
        <v>6.25E-2</v>
      </c>
      <c r="I36" s="15">
        <f t="shared" si="64"/>
        <v>5.025773195876293E-2</v>
      </c>
      <c r="J36" s="15">
        <f t="shared" si="64"/>
        <v>5.3333333333333233E-2</v>
      </c>
      <c r="K36" s="15">
        <f t="shared" si="64"/>
        <v>7.0895522388059629E-2</v>
      </c>
      <c r="L36" s="15">
        <f t="shared" si="64"/>
        <v>7.9656862745097978E-2</v>
      </c>
      <c r="M36" s="15">
        <f t="shared" si="64"/>
        <v>0.10552147239263809</v>
      </c>
      <c r="N36" s="15">
        <f t="shared" si="64"/>
        <v>0.11573236889692584</v>
      </c>
      <c r="O36" s="15">
        <f t="shared" si="64"/>
        <v>9.8722415795586604E-2</v>
      </c>
      <c r="P36" s="15">
        <f t="shared" si="64"/>
        <v>9.7616345062429E-2</v>
      </c>
      <c r="Q36" s="15">
        <f t="shared" si="64"/>
        <v>9.2119866814650342E-2</v>
      </c>
      <c r="R36" s="15">
        <f t="shared" si="64"/>
        <v>7.5364667747163772E-2</v>
      </c>
      <c r="S36" s="15">
        <f t="shared" si="64"/>
        <v>5.7082452431289621E-2</v>
      </c>
      <c r="T36" s="15">
        <f t="shared" si="64"/>
        <v>6.2047569803516112E-2</v>
      </c>
      <c r="U36" s="15">
        <f t="shared" si="64"/>
        <v>6.0975609756097615E-2</v>
      </c>
      <c r="V36" s="15">
        <f t="shared" si="64"/>
        <v>0.13715146948003021</v>
      </c>
      <c r="W36" s="15">
        <f t="shared" si="64"/>
        <v>8.2000000000000073E-2</v>
      </c>
      <c r="X36" s="15">
        <f t="shared" si="64"/>
        <v>8.1791626095423453E-2</v>
      </c>
      <c r="Y36" s="15">
        <f t="shared" si="64"/>
        <v>7.5670498084291271E-2</v>
      </c>
      <c r="Z36" s="15">
        <f t="shared" si="64"/>
        <v>1.9880715705764551E-3</v>
      </c>
      <c r="AA36" s="15">
        <f t="shared" si="64"/>
        <v>3.0000000000000027E-2</v>
      </c>
      <c r="AB36" s="15">
        <f t="shared" si="64"/>
        <v>3.0000000000000027E-2</v>
      </c>
      <c r="AC36" s="15">
        <f t="shared" si="64"/>
        <v>3.0000000000000027E-2</v>
      </c>
      <c r="AD36" s="15">
        <f t="shared" si="64"/>
        <v>3.0000000000000027E-2</v>
      </c>
      <c r="AH36" s="15">
        <f>AH21/AG21-1</f>
        <v>0.11140867702196044</v>
      </c>
      <c r="AI36" s="15">
        <f t="shared" ref="AI36:AS36" si="65">AI21/AH21-1</f>
        <v>0.10168674698795188</v>
      </c>
      <c r="AJ36" s="15">
        <f t="shared" si="65"/>
        <v>6.2117235345581889E-2</v>
      </c>
      <c r="AK36" s="15">
        <f t="shared" si="65"/>
        <v>4.324546952224062E-2</v>
      </c>
      <c r="AL36" s="15">
        <f t="shared" si="65"/>
        <v>4.4611133043821471E-2</v>
      </c>
      <c r="AM36" s="15">
        <f t="shared" si="65"/>
        <v>7.8231292517006779E-2</v>
      </c>
      <c r="AN36" s="15">
        <f t="shared" si="65"/>
        <v>0.10129688047669116</v>
      </c>
      <c r="AO36" s="15">
        <f t="shared" si="65"/>
        <v>6.6836409929980967E-2</v>
      </c>
      <c r="AP36" s="15">
        <f t="shared" si="65"/>
        <v>5.6384248210023857E-2</v>
      </c>
      <c r="AQ36" s="15">
        <f t="shared" si="65"/>
        <v>9.4888449590511126E-2</v>
      </c>
      <c r="AR36" s="15">
        <f t="shared" si="65"/>
        <v>8.9502192416817117E-2</v>
      </c>
      <c r="AS36" s="15">
        <f t="shared" si="65"/>
        <v>8.4280303030302983E-2</v>
      </c>
      <c r="AT36" s="15">
        <f>AT21/AS21-1</f>
        <v>5.4148471615720561E-2</v>
      </c>
      <c r="AU36" s="15">
        <f t="shared" ref="AU36:BE36" si="66">AU21/AT21-1</f>
        <v>3.0000000000000027E-2</v>
      </c>
      <c r="AV36" s="15">
        <f t="shared" si="66"/>
        <v>3.0000000000000027E-2</v>
      </c>
      <c r="AW36" s="15">
        <f t="shared" si="66"/>
        <v>2.0000000000000018E-2</v>
      </c>
      <c r="AX36" s="15">
        <f t="shared" si="66"/>
        <v>2.0000000000000018E-2</v>
      </c>
      <c r="AY36" s="15">
        <f t="shared" si="66"/>
        <v>2.0000000000000018E-2</v>
      </c>
      <c r="AZ36" s="15">
        <f t="shared" si="66"/>
        <v>2.0000000000000018E-2</v>
      </c>
      <c r="BA36" s="15">
        <f t="shared" si="66"/>
        <v>2.0000000000000018E-2</v>
      </c>
      <c r="BB36" s="15">
        <f t="shared" si="66"/>
        <v>2.0000000000000018E-2</v>
      </c>
      <c r="BC36" s="15">
        <f t="shared" si="66"/>
        <v>2.0000000000000018E-2</v>
      </c>
      <c r="BD36" s="15">
        <f t="shared" si="66"/>
        <v>2.0000000000000018E-2</v>
      </c>
      <c r="BE36" s="15">
        <f t="shared" si="66"/>
        <v>2.0000000000000018E-2</v>
      </c>
    </row>
    <row r="37" spans="2:57" x14ac:dyDescent="0.25">
      <c r="B37" s="4" t="s">
        <v>56</v>
      </c>
      <c r="C37" s="14">
        <f>+C24/C22</f>
        <v>0.12677863640252074</v>
      </c>
      <c r="D37" s="14">
        <f t="shared" ref="D37:AD37" si="67">+D24/D22</f>
        <v>0.13210532263532604</v>
      </c>
      <c r="E37" s="14">
        <f t="shared" si="67"/>
        <v>0.12973517559009787</v>
      </c>
      <c r="F37" s="14">
        <f t="shared" si="67"/>
        <v>0.13027916964924838</v>
      </c>
      <c r="G37" s="14">
        <f t="shared" si="67"/>
        <v>0.12977861771058316</v>
      </c>
      <c r="H37" s="14">
        <f t="shared" si="67"/>
        <v>0.12837837837837837</v>
      </c>
      <c r="I37" s="14">
        <f t="shared" si="67"/>
        <v>0.13462673750872109</v>
      </c>
      <c r="J37" s="14">
        <f t="shared" si="67"/>
        <v>0.13079070115954516</v>
      </c>
      <c r="K37" s="14">
        <f t="shared" si="67"/>
        <v>0.13307720792445843</v>
      </c>
      <c r="L37" s="14">
        <f t="shared" si="67"/>
        <v>0.1271192119547008</v>
      </c>
      <c r="M37" s="14">
        <f t="shared" si="67"/>
        <v>0.12946970868211233</v>
      </c>
      <c r="N37" s="14">
        <f t="shared" si="67"/>
        <v>0.12671719186278421</v>
      </c>
      <c r="O37" s="14">
        <f t="shared" si="67"/>
        <v>0.1272958322578083</v>
      </c>
      <c r="P37" s="14">
        <f t="shared" si="67"/>
        <v>0.12305409987669544</v>
      </c>
      <c r="Q37" s="14">
        <f t="shared" si="67"/>
        <v>0.11865921362841281</v>
      </c>
      <c r="R37" s="14">
        <f t="shared" si="67"/>
        <v>0.11836428957844947</v>
      </c>
      <c r="S37" s="14">
        <f t="shared" si="67"/>
        <v>0.1224902180502232</v>
      </c>
      <c r="T37" s="14">
        <f t="shared" si="67"/>
        <v>0.12381934643361199</v>
      </c>
      <c r="U37" s="14">
        <f t="shared" si="67"/>
        <v>0.12065687444079928</v>
      </c>
      <c r="V37" s="14">
        <f t="shared" si="67"/>
        <v>0.12313305210352297</v>
      </c>
      <c r="W37" s="14">
        <f t="shared" si="67"/>
        <v>0.1270264191421997</v>
      </c>
      <c r="X37" s="14">
        <f t="shared" si="67"/>
        <v>0.12494438930905856</v>
      </c>
      <c r="Y37" s="14">
        <f t="shared" si="67"/>
        <v>0.12547210117064</v>
      </c>
      <c r="Z37" s="14">
        <f t="shared" si="67"/>
        <v>0.12684291755022145</v>
      </c>
      <c r="AA37" s="14">
        <f>+AA24/AA22</f>
        <v>0.12702641914219973</v>
      </c>
      <c r="AB37" s="14">
        <f t="shared" si="67"/>
        <v>0.12494438930905852</v>
      </c>
      <c r="AC37" s="14">
        <f t="shared" si="67"/>
        <v>0.12547210117064003</v>
      </c>
      <c r="AD37" s="14">
        <f t="shared" si="67"/>
        <v>0.12684291755022151</v>
      </c>
      <c r="AH37" s="14">
        <f>+AH24/AH22</f>
        <v>0.12421194912091349</v>
      </c>
      <c r="AI37" s="14">
        <f t="shared" ref="AI37:AS37" si="68">+AI24/AI22</f>
        <v>0.12560386473429952</v>
      </c>
      <c r="AJ37" s="14">
        <f t="shared" si="68"/>
        <v>0.12590553977272728</v>
      </c>
      <c r="AK37" s="14">
        <f t="shared" si="68"/>
        <v>0.13024208469952409</v>
      </c>
      <c r="AL37" s="14">
        <f t="shared" si="68"/>
        <v>0.13323899291604546</v>
      </c>
      <c r="AM37" s="14">
        <f t="shared" si="68"/>
        <v>0.13286572369695795</v>
      </c>
      <c r="AN37" s="14">
        <f t="shared" si="68"/>
        <v>0.13013505113861107</v>
      </c>
      <c r="AO37" s="14">
        <f t="shared" si="68"/>
        <v>0.12977479158890134</v>
      </c>
      <c r="AP37" s="14">
        <f t="shared" si="68"/>
        <v>0.13085793440912444</v>
      </c>
      <c r="AQ37" s="14">
        <f t="shared" si="68"/>
        <v>0.12884769482822858</v>
      </c>
      <c r="AR37" s="14">
        <f t="shared" si="68"/>
        <v>0.12148717361227385</v>
      </c>
      <c r="AS37" s="14">
        <f t="shared" si="68"/>
        <v>0.12259688802674482</v>
      </c>
      <c r="AT37" s="14">
        <f>+AT24/AT22</f>
        <v>0.1261333134213391</v>
      </c>
      <c r="AU37" s="14">
        <f>+AU24/AU22</f>
        <v>0.12613331342133913</v>
      </c>
      <c r="AV37" s="14">
        <f t="shared" ref="AU37:BE37" si="69">+AV24/AV22</f>
        <v>0.12613331342133918</v>
      </c>
      <c r="AW37" s="14">
        <f t="shared" si="69"/>
        <v>0.12613331342133918</v>
      </c>
      <c r="AX37" s="14">
        <f t="shared" si="69"/>
        <v>0.12613331342133913</v>
      </c>
      <c r="AY37" s="14">
        <f t="shared" si="69"/>
        <v>0.12613331342133918</v>
      </c>
      <c r="AZ37" s="14">
        <f t="shared" si="69"/>
        <v>0.12613331342133918</v>
      </c>
      <c r="BA37" s="14">
        <f t="shared" si="69"/>
        <v>0.12613331342133921</v>
      </c>
      <c r="BB37" s="14">
        <f t="shared" si="69"/>
        <v>0.12613331342133915</v>
      </c>
      <c r="BC37" s="14">
        <f t="shared" si="69"/>
        <v>0.12613331342133918</v>
      </c>
      <c r="BD37" s="14">
        <f t="shared" si="69"/>
        <v>0.12613331342133921</v>
      </c>
      <c r="BE37" s="14">
        <f t="shared" si="69"/>
        <v>0.12613331342133924</v>
      </c>
    </row>
    <row r="38" spans="2:57" x14ac:dyDescent="0.25">
      <c r="B38" s="4" t="s">
        <v>58</v>
      </c>
      <c r="C38" s="14">
        <f>(C20-C23)/C20</f>
        <v>0.10748739471306579</v>
      </c>
      <c r="D38" s="14">
        <f t="shared" ref="D38:AD38" si="70">(D20-D23)/D20</f>
        <v>0.11285664779946863</v>
      </c>
      <c r="E38" s="14">
        <f t="shared" si="70"/>
        <v>0.10985160758450124</v>
      </c>
      <c r="F38" s="14">
        <f t="shared" si="70"/>
        <v>0.11061832586978987</v>
      </c>
      <c r="G38" s="14">
        <f t="shared" si="70"/>
        <v>0.11047025057953416</v>
      </c>
      <c r="H38" s="14">
        <f t="shared" si="70"/>
        <v>0.10978670012547051</v>
      </c>
      <c r="I38" s="14">
        <f t="shared" si="70"/>
        <v>0.11527804449809333</v>
      </c>
      <c r="J38" s="14">
        <f t="shared" si="70"/>
        <v>0.11240124720240259</v>
      </c>
      <c r="K38" s="14">
        <f t="shared" si="70"/>
        <v>0.11545091742036036</v>
      </c>
      <c r="L38" s="14">
        <f t="shared" si="70"/>
        <v>0.10959715639810426</v>
      </c>
      <c r="M38" s="14">
        <f t="shared" si="70"/>
        <v>0.11179466378222462</v>
      </c>
      <c r="N38" s="14">
        <f t="shared" si="70"/>
        <v>0.10917791051577937</v>
      </c>
      <c r="O38" s="14">
        <f t="shared" si="70"/>
        <v>0.1105894732581905</v>
      </c>
      <c r="P38" s="14">
        <f t="shared" si="70"/>
        <v>0.106405952451067</v>
      </c>
      <c r="Q38" s="14">
        <f t="shared" si="70"/>
        <v>0.10185615748275595</v>
      </c>
      <c r="R38" s="14">
        <f t="shared" si="70"/>
        <v>0.10183143971510938</v>
      </c>
      <c r="S38" s="14">
        <f t="shared" si="70"/>
        <v>0.1060688287141868</v>
      </c>
      <c r="T38" s="14">
        <f t="shared" si="70"/>
        <v>0.10722911558103948</v>
      </c>
      <c r="U38" s="14">
        <f t="shared" si="70"/>
        <v>0.1032050794616379</v>
      </c>
      <c r="V38" s="14">
        <f t="shared" si="70"/>
        <v>0.10604416892677257</v>
      </c>
      <c r="W38" s="14">
        <f t="shared" si="70"/>
        <v>0.11037255143960364</v>
      </c>
      <c r="X38" s="14">
        <f t="shared" si="70"/>
        <v>0.10798695295738781</v>
      </c>
      <c r="Y38" s="14">
        <f t="shared" si="70"/>
        <v>0.10836005018120992</v>
      </c>
      <c r="Z38" s="14">
        <f t="shared" si="70"/>
        <v>0.10995715290656775</v>
      </c>
      <c r="AA38" s="14">
        <f t="shared" si="70"/>
        <v>0.11037255143960369</v>
      </c>
      <c r="AB38" s="14">
        <f t="shared" si="70"/>
        <v>0.10798695295738774</v>
      </c>
      <c r="AC38" s="14">
        <f t="shared" si="70"/>
        <v>0.10836005018120992</v>
      </c>
      <c r="AD38" s="14">
        <f t="shared" si="70"/>
        <v>0.1099571529065678</v>
      </c>
      <c r="AH38" s="14">
        <f>(AH20-AH23)/AH20</f>
        <v>0.10548927489645793</v>
      </c>
      <c r="AI38" s="14">
        <f t="shared" ref="AI38:AS38" si="71">(AI20-AI23)/AI20</f>
        <v>0.10617283950617284</v>
      </c>
      <c r="AJ38" s="14">
        <f t="shared" si="71"/>
        <v>0.10664900373824991</v>
      </c>
      <c r="AK38" s="14">
        <f t="shared" si="71"/>
        <v>0.11085988774127707</v>
      </c>
      <c r="AL38" s="14">
        <f t="shared" si="71"/>
        <v>0.11348030980503648</v>
      </c>
      <c r="AM38" s="14">
        <f t="shared" si="71"/>
        <v>0.11325809212820594</v>
      </c>
      <c r="AN38" s="14">
        <f t="shared" si="71"/>
        <v>0.11039195573341809</v>
      </c>
      <c r="AO38" s="14">
        <f t="shared" si="71"/>
        <v>0.11024365421055099</v>
      </c>
      <c r="AP38" s="14">
        <f t="shared" si="71"/>
        <v>0.11200220561205734</v>
      </c>
      <c r="AQ38" s="14">
        <f t="shared" si="71"/>
        <v>0.11126153333472184</v>
      </c>
      <c r="AR38" s="14">
        <f t="shared" si="71"/>
        <v>0.10482647151259372</v>
      </c>
      <c r="AS38" s="14">
        <f t="shared" si="71"/>
        <v>0.1056918093475243</v>
      </c>
      <c r="AT38" s="14">
        <f>(AT20-AT23)/AT20</f>
        <v>0.10923184777165748</v>
      </c>
      <c r="AU38" s="14">
        <f t="shared" ref="AU38:BE38" si="72">(AU20-AU23)/AU20</f>
        <v>0.10923184777165752</v>
      </c>
      <c r="AV38" s="14">
        <f>(AV20-AV23)/AV20</f>
        <v>0.10923184777165765</v>
      </c>
      <c r="AW38" s="14">
        <f t="shared" si="72"/>
        <v>0.10923184777165765</v>
      </c>
      <c r="AX38" s="14">
        <f t="shared" si="72"/>
        <v>0.10923184777165747</v>
      </c>
      <c r="AY38" s="14">
        <f t="shared" si="72"/>
        <v>0.10923184777165763</v>
      </c>
      <c r="AZ38" s="14">
        <f t="shared" si="72"/>
        <v>0.10923184777165761</v>
      </c>
      <c r="BA38" s="14">
        <f t="shared" si="72"/>
        <v>0.10923184777165763</v>
      </c>
      <c r="BB38" s="14">
        <f t="shared" si="72"/>
        <v>0.10923184777165752</v>
      </c>
      <c r="BC38" s="14">
        <f t="shared" si="72"/>
        <v>0.10923184777165751</v>
      </c>
      <c r="BD38" s="14">
        <f t="shared" si="72"/>
        <v>0.10923184777165755</v>
      </c>
      <c r="BE38" s="14">
        <f t="shared" si="72"/>
        <v>0.10923184777165769</v>
      </c>
    </row>
    <row r="39" spans="2:57" x14ac:dyDescent="0.25">
      <c r="B39" s="4" t="s">
        <v>97</v>
      </c>
      <c r="C39" s="10"/>
      <c r="AH39" s="10">
        <f>AH21*1000/AH15</f>
        <v>30.970149253731343</v>
      </c>
      <c r="AI39" s="10">
        <f t="shared" ref="AI39:AS39" si="73">AI21*1000/AI15</f>
        <v>32.106741573033709</v>
      </c>
      <c r="AJ39" s="10">
        <f t="shared" si="73"/>
        <v>31.780104712041886</v>
      </c>
      <c r="AK39" s="10">
        <f t="shared" si="73"/>
        <v>49.960552268244577</v>
      </c>
      <c r="AL39" s="10">
        <f t="shared" si="73"/>
        <v>30.519031141868513</v>
      </c>
      <c r="AM39" s="10">
        <f t="shared" si="73"/>
        <v>31.59468438538206</v>
      </c>
      <c r="AN39" s="10">
        <f t="shared" si="73"/>
        <v>33.319194061505833</v>
      </c>
      <c r="AO39" s="10">
        <f t="shared" si="73"/>
        <v>34.030456852791879</v>
      </c>
      <c r="AP39" s="10">
        <f t="shared" si="73"/>
        <v>33.563981042654028</v>
      </c>
      <c r="AQ39" s="10">
        <f t="shared" si="73"/>
        <v>34.740143369175627</v>
      </c>
      <c r="AR39" s="10">
        <f t="shared" si="73"/>
        <v>35.525651808242223</v>
      </c>
      <c r="AS39" s="10">
        <f t="shared" si="73"/>
        <v>35.809225957779518</v>
      </c>
      <c r="AT39" s="10">
        <f>AT21*1000/AT15</f>
        <v>35.292397660818715</v>
      </c>
      <c r="AU39" s="10">
        <f t="shared" ref="AU39:BE39" si="74">AU21*1000/AU15</f>
        <v>35.292397660818715</v>
      </c>
      <c r="AV39" s="10">
        <f t="shared" si="74"/>
        <v>35.292397660818715</v>
      </c>
      <c r="AW39" s="10">
        <f t="shared" si="74"/>
        <v>35.292397660818715</v>
      </c>
      <c r="AX39" s="10">
        <f t="shared" si="74"/>
        <v>35.292397660818722</v>
      </c>
      <c r="AY39" s="10">
        <f t="shared" si="74"/>
        <v>35.292397660818722</v>
      </c>
      <c r="AZ39" s="10">
        <f t="shared" si="74"/>
        <v>35.292397660818715</v>
      </c>
      <c r="BA39" s="10">
        <f t="shared" si="74"/>
        <v>35.292397660818715</v>
      </c>
      <c r="BB39" s="10">
        <f t="shared" si="74"/>
        <v>35.292397660818715</v>
      </c>
      <c r="BC39" s="10">
        <f t="shared" si="74"/>
        <v>35.292397660818715</v>
      </c>
      <c r="BD39" s="10">
        <f t="shared" si="74"/>
        <v>35.292397660818715</v>
      </c>
      <c r="BE39" s="10">
        <f t="shared" si="74"/>
        <v>35.292397660818715</v>
      </c>
    </row>
    <row r="40" spans="2:57" x14ac:dyDescent="0.25">
      <c r="B40" s="4" t="s">
        <v>59</v>
      </c>
      <c r="C40" s="14">
        <f>+C26/C22</f>
        <v>2.706093700989478E-2</v>
      </c>
      <c r="D40" s="14">
        <f t="shared" ref="D40:AD40" si="75">+D26/D22</f>
        <v>3.3986891174143968E-2</v>
      </c>
      <c r="E40" s="14">
        <f t="shared" si="75"/>
        <v>3.229706390328152E-2</v>
      </c>
      <c r="F40" s="14">
        <f t="shared" si="75"/>
        <v>3.080129689671144E-2</v>
      </c>
      <c r="G40" s="14">
        <f t="shared" si="75"/>
        <v>2.8644708423326132E-2</v>
      </c>
      <c r="H40" s="14">
        <f t="shared" si="75"/>
        <v>3.2401719901719903E-2</v>
      </c>
      <c r="I40" s="14">
        <f t="shared" si="75"/>
        <v>3.1637417485107067E-2</v>
      </c>
      <c r="J40" s="14">
        <f t="shared" si="75"/>
        <v>3.6135099188880353E-2</v>
      </c>
      <c r="K40" s="14">
        <f t="shared" si="75"/>
        <v>3.3095723014256617E-2</v>
      </c>
      <c r="L40" s="14">
        <f t="shared" si="75"/>
        <v>2.9931425763363041E-2</v>
      </c>
      <c r="M40" s="14">
        <f t="shared" si="75"/>
        <v>3.6729465291428322E-2</v>
      </c>
      <c r="N40" s="14">
        <f t="shared" si="75"/>
        <v>3.6298364579178302E-2</v>
      </c>
      <c r="O40" s="14">
        <f t="shared" si="75"/>
        <v>3.3615948215952186E-2</v>
      </c>
      <c r="P40" s="14">
        <f t="shared" si="75"/>
        <v>3.4910604192355116E-2</v>
      </c>
      <c r="Q40" s="14">
        <f t="shared" si="75"/>
        <v>3.405201916495551E-2</v>
      </c>
      <c r="R40" s="14">
        <f t="shared" si="75"/>
        <v>3.4636778516042223E-2</v>
      </c>
      <c r="S40" s="14">
        <f t="shared" si="75"/>
        <v>3.2165622646361851E-2</v>
      </c>
      <c r="T40" s="14">
        <f t="shared" si="75"/>
        <v>3.4433467231209061E-2</v>
      </c>
      <c r="U40" s="14">
        <f t="shared" si="75"/>
        <v>3.1296600059648079E-2</v>
      </c>
      <c r="V40" s="14">
        <f t="shared" si="75"/>
        <v>3.5229734351841298E-2</v>
      </c>
      <c r="W40" s="14">
        <f t="shared" si="75"/>
        <v>3.4325853388466929E-2</v>
      </c>
      <c r="X40" s="14">
        <f t="shared" si="75"/>
        <v>3.5282844529619106E-2</v>
      </c>
      <c r="Y40" s="14">
        <f t="shared" si="75"/>
        <v>3.7545928394428781E-2</v>
      </c>
      <c r="Z40" s="14">
        <f t="shared" si="75"/>
        <v>3.8169567235905991E-2</v>
      </c>
      <c r="AA40" s="14">
        <f t="shared" si="75"/>
        <v>3.660811593673919E-2</v>
      </c>
      <c r="AB40" s="14">
        <f t="shared" si="75"/>
        <v>3.6008089658504425E-2</v>
      </c>
      <c r="AC40" s="14">
        <f t="shared" si="75"/>
        <v>3.6160172486158902E-2</v>
      </c>
      <c r="AD40" s="14">
        <f t="shared" si="75"/>
        <v>3.6555232075263136E-2</v>
      </c>
      <c r="AH40" s="14">
        <f>+AH26/AH22</f>
        <v>2.7830174405116152E-2</v>
      </c>
      <c r="AI40" s="14">
        <f>+AI26/AI22</f>
        <v>2.9033055650652364E-2</v>
      </c>
      <c r="AJ40" s="14">
        <f t="shared" ref="AI40:AS40" si="76">+AJ26/AJ22</f>
        <v>2.8586647727272728E-2</v>
      </c>
      <c r="AK40" s="14">
        <f t="shared" si="76"/>
        <v>3.1187875971393903E-2</v>
      </c>
      <c r="AL40" s="14">
        <f t="shared" si="76"/>
        <v>3.0930179667955426E-2</v>
      </c>
      <c r="AM40" s="14">
        <f t="shared" si="76"/>
        <v>3.1862042239875994E-2</v>
      </c>
      <c r="AN40" s="14">
        <f t="shared" si="76"/>
        <v>3.164378143188111E-2</v>
      </c>
      <c r="AO40" s="14">
        <f t="shared" si="76"/>
        <v>3.1021001552032378E-2</v>
      </c>
      <c r="AP40" s="14">
        <f t="shared" si="76"/>
        <v>3.259155318089961E-2</v>
      </c>
      <c r="AQ40" s="14">
        <f t="shared" si="76"/>
        <v>3.4236891935343926E-2</v>
      </c>
      <c r="AR40" s="14">
        <f t="shared" si="76"/>
        <v>3.4337354706240032E-2</v>
      </c>
      <c r="AS40" s="14">
        <f t="shared" si="76"/>
        <v>3.3488794419910026E-2</v>
      </c>
      <c r="AT40" s="14">
        <f>+AT26/AT22</f>
        <v>3.6490039417888566E-2</v>
      </c>
      <c r="AU40" s="14">
        <f t="shared" ref="AU40:BE40" si="77">+AU26/AU22</f>
        <v>3.6350729182126909E-2</v>
      </c>
      <c r="AV40" s="14">
        <f t="shared" si="77"/>
        <v>3.5027758968487754E-2</v>
      </c>
      <c r="AW40" s="14">
        <f t="shared" si="77"/>
        <v>3.5027758968487754E-2</v>
      </c>
      <c r="AX40" s="14">
        <f t="shared" si="77"/>
        <v>3.5027758968487747E-2</v>
      </c>
      <c r="AY40" s="14">
        <f t="shared" si="77"/>
        <v>3.5027758968487747E-2</v>
      </c>
      <c r="AZ40" s="14">
        <f t="shared" si="77"/>
        <v>3.5027758968487747E-2</v>
      </c>
      <c r="BA40" s="14">
        <f t="shared" si="77"/>
        <v>3.5027758968487754E-2</v>
      </c>
      <c r="BB40" s="14">
        <f t="shared" si="77"/>
        <v>3.5027758968487741E-2</v>
      </c>
      <c r="BC40" s="14">
        <f t="shared" si="77"/>
        <v>3.5027758968487747E-2</v>
      </c>
      <c r="BD40" s="14">
        <f t="shared" si="77"/>
        <v>3.5027758968487768E-2</v>
      </c>
      <c r="BE40" s="14">
        <f t="shared" si="77"/>
        <v>3.5027758968487768E-2</v>
      </c>
    </row>
    <row r="41" spans="2:57" x14ac:dyDescent="0.25">
      <c r="B41" s="4" t="s">
        <v>60</v>
      </c>
      <c r="C41" s="14">
        <f>+C29/C28</f>
        <v>0.17081081081081081</v>
      </c>
      <c r="D41" s="14">
        <f t="shared" ref="D41:AD41" si="78">+D29/D28</f>
        <v>0.26101413133832085</v>
      </c>
      <c r="E41" s="14">
        <f t="shared" si="78"/>
        <v>0.18598382749326145</v>
      </c>
      <c r="F41" s="14">
        <f t="shared" si="78"/>
        <v>0.25828262339418528</v>
      </c>
      <c r="G41" s="14">
        <f t="shared" si="78"/>
        <v>0.19311663479923519</v>
      </c>
      <c r="H41" s="14">
        <f t="shared" si="78"/>
        <v>0.26169706582077717</v>
      </c>
      <c r="I41" s="14">
        <f t="shared" si="78"/>
        <v>0.27067014795474326</v>
      </c>
      <c r="J41" s="14">
        <f t="shared" si="78"/>
        <v>0.25080906148867316</v>
      </c>
      <c r="K41" s="14">
        <f t="shared" si="78"/>
        <v>0.17010676156583629</v>
      </c>
      <c r="L41" s="14">
        <f t="shared" si="78"/>
        <v>0.26789838337182448</v>
      </c>
      <c r="M41" s="14">
        <f t="shared" si="78"/>
        <v>0.25473427000610871</v>
      </c>
      <c r="N41" s="14">
        <f t="shared" si="78"/>
        <v>0.26334362593736216</v>
      </c>
      <c r="O41" s="14">
        <f t="shared" si="78"/>
        <v>0.20955223880597015</v>
      </c>
      <c r="P41" s="14">
        <f t="shared" si="78"/>
        <v>0.27022471910112361</v>
      </c>
      <c r="Q41" s="14">
        <f t="shared" si="78"/>
        <v>0.25165929203539822</v>
      </c>
      <c r="R41" s="14">
        <f t="shared" si="78"/>
        <v>0.25458898643256184</v>
      </c>
      <c r="S41" s="14">
        <f t="shared" si="78"/>
        <v>0.22937853107344633</v>
      </c>
      <c r="T41" s="14">
        <f t="shared" si="78"/>
        <v>0.26071608673726676</v>
      </c>
      <c r="U41" s="14">
        <f t="shared" si="78"/>
        <v>0.2648221343873518</v>
      </c>
      <c r="V41" s="14">
        <f t="shared" si="78"/>
        <v>0.27100911238609515</v>
      </c>
      <c r="W41" s="14">
        <f t="shared" si="78"/>
        <v>0.24548907882241217</v>
      </c>
      <c r="X41" s="14">
        <f t="shared" si="78"/>
        <v>0.2208314707197139</v>
      </c>
      <c r="Y41" s="14">
        <f t="shared" si="78"/>
        <v>0.26401050788091068</v>
      </c>
      <c r="Z41" s="14">
        <f t="shared" si="78"/>
        <v>0.24381625441696114</v>
      </c>
      <c r="AA41" s="14">
        <f t="shared" si="78"/>
        <v>0.24353682795999948</v>
      </c>
      <c r="AB41" s="14">
        <f t="shared" si="78"/>
        <v>0.24353682795999948</v>
      </c>
      <c r="AC41" s="14">
        <f t="shared" si="78"/>
        <v>0.24353682795999948</v>
      </c>
      <c r="AD41" s="14">
        <f t="shared" si="78"/>
        <v>0.24353682795999951</v>
      </c>
      <c r="AH41" s="14">
        <f>+AH29/AH28</f>
        <v>0.36913990402362495</v>
      </c>
      <c r="AI41" s="14">
        <f t="shared" ref="AI41:AS41" si="79">+AI29/AI28</f>
        <v>0.3268405414328161</v>
      </c>
      <c r="AJ41" s="14">
        <f t="shared" si="79"/>
        <v>0.35017366592990212</v>
      </c>
      <c r="AK41" s="14">
        <f t="shared" si="79"/>
        <v>0.33454647256438969</v>
      </c>
      <c r="AL41" s="14">
        <f t="shared" si="79"/>
        <v>0.34595045922627332</v>
      </c>
      <c r="AM41" s="14">
        <f t="shared" si="79"/>
        <v>0.3309190809190809</v>
      </c>
      <c r="AN41" s="14">
        <f t="shared" si="79"/>
        <v>0.28724130088696836</v>
      </c>
      <c r="AO41" s="14">
        <f t="shared" si="79"/>
        <v>0.22478813559322033</v>
      </c>
      <c r="AP41" s="14">
        <f t="shared" si="79"/>
        <v>0.24632768361581922</v>
      </c>
      <c r="AQ41" s="14">
        <f t="shared" si="79"/>
        <v>0.24228208232445519</v>
      </c>
      <c r="AR41" s="14">
        <f t="shared" si="79"/>
        <v>0.24777963701892136</v>
      </c>
      <c r="AS41" s="14">
        <f t="shared" si="79"/>
        <v>0.25863084717803697</v>
      </c>
      <c r="AT41" s="14">
        <f>+AT29/AT28</f>
        <v>0.24363449691991787</v>
      </c>
      <c r="AU41" s="14">
        <f t="shared" ref="AU41:BE41" si="80">+AU29/AU28</f>
        <v>0.24353682795999948</v>
      </c>
      <c r="AV41" s="14">
        <f t="shared" si="80"/>
        <v>0.24353682795999948</v>
      </c>
      <c r="AW41" s="14">
        <f t="shared" si="80"/>
        <v>0.24353682795999945</v>
      </c>
      <c r="AX41" s="14">
        <f t="shared" si="80"/>
        <v>0.24353682795999945</v>
      </c>
      <c r="AY41" s="14">
        <f t="shared" si="80"/>
        <v>0.24353682795999945</v>
      </c>
      <c r="AZ41" s="14">
        <f t="shared" si="80"/>
        <v>0.24353682795999945</v>
      </c>
      <c r="BA41" s="14">
        <f t="shared" si="80"/>
        <v>0.24353682795999948</v>
      </c>
      <c r="BB41" s="14">
        <f t="shared" si="80"/>
        <v>0.24353682795999945</v>
      </c>
      <c r="BC41" s="14">
        <f t="shared" si="80"/>
        <v>0.24353682795999945</v>
      </c>
      <c r="BD41" s="14">
        <f t="shared" si="80"/>
        <v>0.24353682795999945</v>
      </c>
      <c r="BE41" s="14">
        <f t="shared" si="80"/>
        <v>0.24353682795999945</v>
      </c>
    </row>
    <row r="43" spans="2:57" s="6" customFormat="1" x14ac:dyDescent="0.25">
      <c r="B43" s="9" t="s">
        <v>61</v>
      </c>
      <c r="W43" s="14"/>
      <c r="X43" s="14"/>
      <c r="Y43" s="14"/>
      <c r="Z43" s="14"/>
      <c r="AH43" s="6">
        <v>174000</v>
      </c>
      <c r="AI43" s="6">
        <v>184000</v>
      </c>
      <c r="AJ43" s="6">
        <v>195000</v>
      </c>
      <c r="AK43" s="6">
        <v>205000</v>
      </c>
      <c r="AL43" s="6">
        <v>218000</v>
      </c>
      <c r="AM43" s="6">
        <v>231000</v>
      </c>
      <c r="AN43" s="6">
        <v>245000</v>
      </c>
      <c r="AO43" s="6">
        <v>254000</v>
      </c>
      <c r="AP43" s="6">
        <v>273000</v>
      </c>
      <c r="AQ43" s="6">
        <v>288000</v>
      </c>
      <c r="AR43" s="6">
        <v>304000</v>
      </c>
      <c r="AS43" s="6">
        <v>316000</v>
      </c>
      <c r="AT43" s="6">
        <v>333000</v>
      </c>
    </row>
    <row r="44" spans="2:57" x14ac:dyDescent="0.25">
      <c r="AQ44" s="14"/>
      <c r="AR44" s="14"/>
      <c r="AS44" s="14"/>
      <c r="AT44" s="14"/>
    </row>
    <row r="45" spans="2:57" x14ac:dyDescent="0.25">
      <c r="B45" s="4" t="s">
        <v>62</v>
      </c>
      <c r="AH45" s="6">
        <f>AH46-AH59</f>
        <v>3473</v>
      </c>
      <c r="AI45" s="6">
        <f>AI46-AI59</f>
        <v>1126</v>
      </c>
      <c r="AJ45" s="6">
        <f>AJ46-AJ59</f>
        <v>2222</v>
      </c>
      <c r="AK45" s="6">
        <f>AK46-AK59</f>
        <v>284</v>
      </c>
      <c r="AL45" s="6">
        <f>AL46-AL59</f>
        <v>-432</v>
      </c>
      <c r="AM45" s="6">
        <f>AM46-AM59</f>
        <v>-794</v>
      </c>
      <c r="AN45" s="6">
        <f>AN46-AN59</f>
        <v>682</v>
      </c>
      <c r="AO45" s="6">
        <f>AO46-AO59</f>
        <v>2621</v>
      </c>
      <c r="AP45" s="6">
        <f>AP46-AP59</f>
        <v>3138</v>
      </c>
      <c r="AQ45" s="6">
        <f>AQ46-AQ59</f>
        <v>2042</v>
      </c>
      <c r="AR45" s="6">
        <f>AR46-AR59</f>
        <v>2010</v>
      </c>
      <c r="AS45" s="6">
        <f>AS46-AS59</f>
        <v>6350</v>
      </c>
      <c r="AT45" s="6">
        <f>AT46-AT59</f>
        <v>2872</v>
      </c>
    </row>
    <row r="46" spans="2:57" x14ac:dyDescent="0.25">
      <c r="B46" t="s">
        <v>63</v>
      </c>
      <c r="AH46" s="6">
        <f>3528+1326</f>
        <v>4854</v>
      </c>
      <c r="AI46" s="6">
        <f>4644+1480</f>
        <v>6124</v>
      </c>
      <c r="AJ46" s="6">
        <f>5738+1577</f>
        <v>7315</v>
      </c>
      <c r="AK46" s="6">
        <f>4801+1618</f>
        <v>6419</v>
      </c>
      <c r="AL46" s="6">
        <f>3379+1350</f>
        <v>4729</v>
      </c>
      <c r="AM46" s="6">
        <f>4546+1233</f>
        <v>5779</v>
      </c>
      <c r="AN46" s="6">
        <f>6055+1204</f>
        <v>7259</v>
      </c>
      <c r="AO46" s="6">
        <f>8384+1060</f>
        <v>9444</v>
      </c>
      <c r="AP46" s="6">
        <f>12277+1028</f>
        <v>13305</v>
      </c>
      <c r="AQ46" s="6">
        <f>11258+917</f>
        <v>12175</v>
      </c>
      <c r="AR46" s="6">
        <f>10203+846</f>
        <v>11049</v>
      </c>
      <c r="AS46" s="6">
        <f>13700+1534</f>
        <v>15234</v>
      </c>
      <c r="AT46" s="6">
        <f>9906+1238</f>
        <v>11144</v>
      </c>
    </row>
    <row r="47" spans="2:57" x14ac:dyDescent="0.25">
      <c r="B47" s="4" t="s">
        <v>64</v>
      </c>
      <c r="AH47" s="6">
        <v>1026</v>
      </c>
      <c r="AI47" s="6">
        <v>1201</v>
      </c>
      <c r="AJ47" s="6">
        <v>1148</v>
      </c>
      <c r="AK47" s="6">
        <v>1224</v>
      </c>
      <c r="AL47" s="6">
        <v>1252</v>
      </c>
      <c r="AM47" s="6">
        <v>1432</v>
      </c>
      <c r="AN47" s="6">
        <v>1669</v>
      </c>
      <c r="AO47" s="6">
        <v>1535</v>
      </c>
      <c r="AP47" s="6">
        <v>1550</v>
      </c>
      <c r="AQ47" s="6">
        <v>1803</v>
      </c>
      <c r="AR47" s="6">
        <v>2241</v>
      </c>
      <c r="AS47" s="6">
        <v>2285</v>
      </c>
      <c r="AT47" s="6">
        <v>2721</v>
      </c>
    </row>
    <row r="48" spans="2:57" x14ac:dyDescent="0.25">
      <c r="B48" t="s">
        <v>65</v>
      </c>
      <c r="AH48" s="6">
        <v>7096</v>
      </c>
      <c r="AI48" s="6">
        <v>7894</v>
      </c>
      <c r="AJ48" s="6">
        <v>8456</v>
      </c>
      <c r="AK48" s="6">
        <v>8908</v>
      </c>
      <c r="AL48" s="6">
        <v>8969</v>
      </c>
      <c r="AM48" s="6">
        <v>9834</v>
      </c>
      <c r="AN48" s="6">
        <v>11040</v>
      </c>
      <c r="AO48" s="6">
        <v>11395</v>
      </c>
      <c r="AP48" s="6">
        <v>12242</v>
      </c>
      <c r="AQ48" s="6">
        <v>14215</v>
      </c>
      <c r="AR48" s="6">
        <v>17907</v>
      </c>
      <c r="AS48" s="6">
        <v>16651</v>
      </c>
      <c r="AT48" s="6">
        <v>18647</v>
      </c>
    </row>
    <row r="49" spans="2:46" x14ac:dyDescent="0.25">
      <c r="B49" s="4" t="s">
        <v>66</v>
      </c>
      <c r="AH49" s="6">
        <v>550</v>
      </c>
      <c r="AI49" s="6">
        <v>621</v>
      </c>
      <c r="AJ49" s="6">
        <v>669</v>
      </c>
      <c r="AK49" s="6">
        <v>228</v>
      </c>
      <c r="AL49" s="6">
        <v>268</v>
      </c>
      <c r="AM49" s="6">
        <v>272</v>
      </c>
      <c r="AN49" s="6">
        <v>321</v>
      </c>
      <c r="AO49" s="6">
        <v>1111</v>
      </c>
      <c r="AP49" s="6">
        <v>1023</v>
      </c>
      <c r="AQ49" s="6">
        <v>1312</v>
      </c>
      <c r="AR49" s="6">
        <v>1499</v>
      </c>
      <c r="AS49" s="6">
        <v>1709</v>
      </c>
      <c r="AT49" s="6">
        <v>1734</v>
      </c>
    </row>
    <row r="50" spans="2:46" x14ac:dyDescent="0.25">
      <c r="B50" t="s">
        <v>67</v>
      </c>
      <c r="AH50" s="6">
        <v>12961</v>
      </c>
      <c r="AI50" s="6">
        <v>13881</v>
      </c>
      <c r="AJ50" s="6">
        <v>14830</v>
      </c>
      <c r="AK50" s="6">
        <v>15401</v>
      </c>
      <c r="AL50" s="6">
        <v>17043</v>
      </c>
      <c r="AM50" s="6">
        <v>18161</v>
      </c>
      <c r="AN50" s="6">
        <v>19681</v>
      </c>
      <c r="AO50" s="6">
        <v>20890</v>
      </c>
      <c r="AP50" s="6">
        <v>21807</v>
      </c>
      <c r="AQ50" s="6">
        <v>23492</v>
      </c>
      <c r="AR50" s="6">
        <v>24646</v>
      </c>
      <c r="AS50" s="6">
        <v>26684</v>
      </c>
      <c r="AT50" s="6">
        <v>29032</v>
      </c>
    </row>
    <row r="51" spans="2:46" x14ac:dyDescent="0.25">
      <c r="B51" s="4" t="s">
        <v>68</v>
      </c>
      <c r="AH51" s="6"/>
      <c r="AI51" s="6"/>
      <c r="AJ51" s="6"/>
      <c r="AK51" s="6"/>
      <c r="AL51" s="6"/>
      <c r="AM51" s="6"/>
      <c r="AN51" s="6"/>
      <c r="AO51" s="6"/>
      <c r="AP51" s="6">
        <v>2788</v>
      </c>
      <c r="AQ51" s="6">
        <v>2890</v>
      </c>
      <c r="AR51" s="6">
        <v>2774</v>
      </c>
      <c r="AS51" s="6">
        <v>2713</v>
      </c>
      <c r="AT51" s="6">
        <v>2617</v>
      </c>
    </row>
    <row r="52" spans="2:46" x14ac:dyDescent="0.25">
      <c r="B52" t="s">
        <v>69</v>
      </c>
      <c r="AH52" s="6">
        <v>653</v>
      </c>
      <c r="AI52" s="6">
        <v>562</v>
      </c>
      <c r="AJ52" s="6">
        <v>606</v>
      </c>
      <c r="AK52" s="6">
        <v>837</v>
      </c>
      <c r="AL52" s="6">
        <v>902</v>
      </c>
      <c r="AM52" s="6">
        <v>869</v>
      </c>
      <c r="AN52" s="6">
        <v>860</v>
      </c>
      <c r="AO52" s="6">
        <v>1025</v>
      </c>
      <c r="AP52" s="6">
        <v>2841</v>
      </c>
      <c r="AQ52" s="6">
        <v>3381</v>
      </c>
      <c r="AR52" s="6">
        <v>4050</v>
      </c>
      <c r="AS52" s="6">
        <v>3718</v>
      </c>
      <c r="AT52" s="6">
        <v>3936</v>
      </c>
    </row>
    <row r="53" spans="2:46" x14ac:dyDescent="0.25">
      <c r="B53" s="4" t="s">
        <v>92</v>
      </c>
      <c r="AH53" s="6">
        <f>SUM(AH46:AH52)</f>
        <v>27140</v>
      </c>
      <c r="AI53" s="6">
        <f>SUM(AI46:AI52)</f>
        <v>30283</v>
      </c>
      <c r="AJ53" s="6">
        <f>SUM(AJ46:AJ52)</f>
        <v>33024</v>
      </c>
      <c r="AK53" s="6">
        <f>SUM(AK46:AK52)</f>
        <v>33017</v>
      </c>
      <c r="AL53" s="6">
        <f>SUM(AL46:AL52)</f>
        <v>33163</v>
      </c>
      <c r="AM53" s="6">
        <f>SUM(AM46:AM52)</f>
        <v>36347</v>
      </c>
      <c r="AN53" s="6">
        <f>SUM(AN46:AN52)</f>
        <v>40830</v>
      </c>
      <c r="AO53" s="6">
        <f>SUM(AO46:AO52)</f>
        <v>45400</v>
      </c>
      <c r="AP53" s="6">
        <f>SUM(AP46:AP52)</f>
        <v>55556</v>
      </c>
      <c r="AQ53" s="6">
        <f>SUM(AQ46:AQ52)</f>
        <v>59268</v>
      </c>
      <c r="AR53" s="6">
        <f>SUM(AR46:AR52)</f>
        <v>64166</v>
      </c>
      <c r="AS53" s="6">
        <f>SUM(AS46:AS52)</f>
        <v>68994</v>
      </c>
      <c r="AT53" s="6">
        <f>SUM(AT46:AT52)</f>
        <v>69831</v>
      </c>
    </row>
    <row r="55" spans="2:46" x14ac:dyDescent="0.25">
      <c r="B55" t="s">
        <v>70</v>
      </c>
      <c r="AH55" s="6">
        <v>7303</v>
      </c>
      <c r="AI55" s="6">
        <v>7872</v>
      </c>
      <c r="AJ55" s="6">
        <v>8491</v>
      </c>
      <c r="AK55" s="6">
        <v>9011</v>
      </c>
      <c r="AL55" s="6">
        <v>7612</v>
      </c>
      <c r="AM55" s="6">
        <v>9608</v>
      </c>
      <c r="AN55" s="6">
        <v>11237</v>
      </c>
      <c r="AO55" s="6">
        <v>11679</v>
      </c>
      <c r="AP55" s="6">
        <v>14172</v>
      </c>
      <c r="AQ55" s="6">
        <v>16278</v>
      </c>
      <c r="AR55" s="6">
        <v>17848</v>
      </c>
      <c r="AS55" s="6">
        <v>17483</v>
      </c>
      <c r="AT55" s="6">
        <v>19421</v>
      </c>
    </row>
    <row r="56" spans="2:46" x14ac:dyDescent="0.25">
      <c r="B56" t="s">
        <v>93</v>
      </c>
      <c r="AH56" s="6">
        <v>1832</v>
      </c>
      <c r="AI56" s="6">
        <v>2037</v>
      </c>
      <c r="AJ56">
        <v>2231</v>
      </c>
      <c r="AK56" s="6">
        <v>2468</v>
      </c>
      <c r="AL56" s="6">
        <v>2629</v>
      </c>
      <c r="AM56" s="6">
        <v>2703</v>
      </c>
      <c r="AN56" s="6">
        <v>2994</v>
      </c>
      <c r="AO56" s="6">
        <v>3176</v>
      </c>
      <c r="AP56" s="6">
        <v>3605</v>
      </c>
      <c r="AQ56" s="6">
        <v>4090</v>
      </c>
      <c r="AR56" s="6">
        <v>4381</v>
      </c>
      <c r="AS56" s="6">
        <v>4278</v>
      </c>
      <c r="AT56" s="6">
        <v>4794</v>
      </c>
    </row>
    <row r="57" spans="2:46" x14ac:dyDescent="0.25">
      <c r="B57" t="s">
        <v>72</v>
      </c>
      <c r="AH57" s="6">
        <f>661+397+966</f>
        <v>2024</v>
      </c>
      <c r="AI57" s="6">
        <f>710+382+1089</f>
        <v>2181</v>
      </c>
      <c r="AJ57" s="6">
        <f>773+1663</f>
        <v>2436</v>
      </c>
      <c r="AK57" s="6">
        <f>813+1695</f>
        <v>2508</v>
      </c>
      <c r="AL57" s="6">
        <f>869+2003</f>
        <v>2872</v>
      </c>
      <c r="AM57" s="6">
        <f>961+2725</f>
        <v>3686</v>
      </c>
      <c r="AN57" s="6">
        <f>1057+2924</f>
        <v>3981</v>
      </c>
      <c r="AO57" s="6">
        <f>1180+3792</f>
        <v>4972</v>
      </c>
      <c r="AP57" s="6">
        <f>1393+3728</f>
        <v>5121</v>
      </c>
      <c r="AQ57" s="6">
        <f>1671+4561</f>
        <v>6232</v>
      </c>
      <c r="AR57" s="6">
        <f>1911+2174</f>
        <v>4085</v>
      </c>
      <c r="AS57" s="6">
        <f>2150+6254</f>
        <v>8404</v>
      </c>
      <c r="AT57" s="6">
        <f>2435+6210</f>
        <v>8645</v>
      </c>
    </row>
    <row r="58" spans="2:46" x14ac:dyDescent="0.25">
      <c r="B58" t="s">
        <v>71</v>
      </c>
      <c r="AH58" s="6">
        <v>1101</v>
      </c>
      <c r="AI58" s="6">
        <v>1167</v>
      </c>
      <c r="AJ58" s="6">
        <v>1254</v>
      </c>
      <c r="AK58" s="6">
        <v>1269</v>
      </c>
      <c r="AL58" s="6">
        <v>1362</v>
      </c>
      <c r="AM58" s="6">
        <v>1498</v>
      </c>
      <c r="AN58" s="6">
        <v>1624</v>
      </c>
      <c r="AO58" s="6">
        <v>1711</v>
      </c>
      <c r="AP58" s="6">
        <v>1851</v>
      </c>
      <c r="AQ58" s="6">
        <v>2042</v>
      </c>
      <c r="AR58" s="6">
        <v>5611</v>
      </c>
      <c r="AS58" s="6">
        <v>2337</v>
      </c>
      <c r="AT58" s="6">
        <v>2501</v>
      </c>
    </row>
    <row r="59" spans="2:46" x14ac:dyDescent="0.25">
      <c r="B59" t="s">
        <v>73</v>
      </c>
      <c r="AH59" s="6">
        <f>1381</f>
        <v>1381</v>
      </c>
      <c r="AI59" s="6">
        <v>4998</v>
      </c>
      <c r="AJ59" s="6">
        <f>5093</f>
        <v>5093</v>
      </c>
      <c r="AK59" s="6">
        <f>1283+4852</f>
        <v>6135</v>
      </c>
      <c r="AL59" s="6">
        <f>1100+4061</f>
        <v>5161</v>
      </c>
      <c r="AM59" s="6">
        <f>6573</f>
        <v>6573</v>
      </c>
      <c r="AN59" s="6">
        <f>90+6487</f>
        <v>6577</v>
      </c>
      <c r="AO59" s="6">
        <f>1699+5124</f>
        <v>6823</v>
      </c>
      <c r="AP59" s="6">
        <f>95+7514+2558</f>
        <v>10167</v>
      </c>
      <c r="AQ59" s="6">
        <f>799+6692+2642</f>
        <v>10133</v>
      </c>
      <c r="AR59" s="6">
        <f>73+6484+2482</f>
        <v>9039</v>
      </c>
      <c r="AS59" s="6">
        <f>1081+5377+2426</f>
        <v>8884</v>
      </c>
      <c r="AT59" s="6">
        <f>103+5794+2375</f>
        <v>8272</v>
      </c>
    </row>
    <row r="60" spans="2:46" x14ac:dyDescent="0.25">
      <c r="B60" t="s">
        <v>74</v>
      </c>
      <c r="AH60" s="6">
        <v>981</v>
      </c>
      <c r="AI60" s="6">
        <v>1016</v>
      </c>
      <c r="AJ60" s="6">
        <v>1004</v>
      </c>
      <c r="AK60" s="6">
        <v>783</v>
      </c>
      <c r="AL60" s="6">
        <v>1195</v>
      </c>
      <c r="AM60" s="6">
        <v>1200</v>
      </c>
      <c r="AN60" s="6">
        <v>1314</v>
      </c>
      <c r="AO60" s="6">
        <v>1455</v>
      </c>
      <c r="AP60" s="6">
        <v>1935</v>
      </c>
      <c r="AQ60" s="6">
        <v>2415</v>
      </c>
      <c r="AR60" s="6">
        <v>2555</v>
      </c>
      <c r="AS60" s="6">
        <v>2550</v>
      </c>
      <c r="AT60" s="6">
        <v>2576</v>
      </c>
    </row>
    <row r="61" spans="2:46" x14ac:dyDescent="0.25">
      <c r="B61" t="s">
        <v>75</v>
      </c>
      <c r="AH61" s="6">
        <v>12518</v>
      </c>
      <c r="AI61" s="6">
        <v>11012</v>
      </c>
      <c r="AJ61" s="6">
        <v>12515</v>
      </c>
      <c r="AK61" s="6">
        <v>10843</v>
      </c>
      <c r="AL61" s="6">
        <v>12332</v>
      </c>
      <c r="AM61" s="6">
        <v>11079</v>
      </c>
      <c r="AN61" s="6">
        <v>13103</v>
      </c>
      <c r="AO61" s="6">
        <v>15584</v>
      </c>
      <c r="AP61" s="6">
        <v>18705</v>
      </c>
      <c r="AQ61" s="6">
        <v>18078</v>
      </c>
      <c r="AR61" s="6">
        <v>20647</v>
      </c>
      <c r="AS61" s="6">
        <v>25058</v>
      </c>
      <c r="AT61" s="6">
        <v>23622</v>
      </c>
    </row>
    <row r="62" spans="2:46" x14ac:dyDescent="0.25">
      <c r="B62" t="s">
        <v>76</v>
      </c>
      <c r="AH62" s="6">
        <f>SUM(AH55:AH61)</f>
        <v>27140</v>
      </c>
      <c r="AI62" s="6">
        <f t="shared" ref="AI62:AS62" si="81">SUM(AI55:AI61)</f>
        <v>30283</v>
      </c>
      <c r="AJ62" s="6">
        <f>SUM(AJ55:AJ61)</f>
        <v>33024</v>
      </c>
      <c r="AK62" s="6">
        <f t="shared" si="81"/>
        <v>33017</v>
      </c>
      <c r="AL62" s="6">
        <f t="shared" si="81"/>
        <v>33163</v>
      </c>
      <c r="AM62" s="6">
        <f t="shared" si="81"/>
        <v>36347</v>
      </c>
      <c r="AN62" s="6">
        <f t="shared" si="81"/>
        <v>40830</v>
      </c>
      <c r="AO62" s="6">
        <f t="shared" si="81"/>
        <v>45400</v>
      </c>
      <c r="AP62" s="6">
        <f t="shared" si="81"/>
        <v>55556</v>
      </c>
      <c r="AQ62" s="6">
        <f t="shared" si="81"/>
        <v>59268</v>
      </c>
      <c r="AR62" s="6">
        <f t="shared" si="81"/>
        <v>64166</v>
      </c>
      <c r="AS62" s="6">
        <f t="shared" si="81"/>
        <v>68994</v>
      </c>
      <c r="AT62" s="6">
        <f>SUM(AT55:AT61)</f>
        <v>69831</v>
      </c>
    </row>
    <row r="63" spans="2:46" x14ac:dyDescent="0.25"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 spans="2:46" x14ac:dyDescent="0.25">
      <c r="B64" t="s">
        <v>77</v>
      </c>
      <c r="AH64" s="6">
        <f>AH30</f>
        <v>1709</v>
      </c>
      <c r="AI64" s="6">
        <f t="shared" ref="AI64:AS64" si="82">AI30</f>
        <v>2039</v>
      </c>
      <c r="AJ64" s="6">
        <f t="shared" si="82"/>
        <v>2058</v>
      </c>
      <c r="AK64" s="6">
        <f t="shared" si="82"/>
        <v>2377</v>
      </c>
      <c r="AL64" s="6">
        <f t="shared" si="82"/>
        <v>2350</v>
      </c>
      <c r="AM64" s="6">
        <f t="shared" si="82"/>
        <v>2679</v>
      </c>
      <c r="AN64" s="6">
        <f t="shared" si="82"/>
        <v>3134</v>
      </c>
      <c r="AO64" s="6">
        <f t="shared" si="82"/>
        <v>3659</v>
      </c>
      <c r="AP64" s="6">
        <f t="shared" si="82"/>
        <v>4002</v>
      </c>
      <c r="AQ64" s="6">
        <f t="shared" si="82"/>
        <v>5007</v>
      </c>
      <c r="AR64" s="6">
        <f t="shared" si="82"/>
        <v>5844</v>
      </c>
      <c r="AS64" s="6">
        <f t="shared" si="82"/>
        <v>6292</v>
      </c>
      <c r="AT64" s="6">
        <f>AT30</f>
        <v>7367</v>
      </c>
    </row>
    <row r="65" spans="2:46" x14ac:dyDescent="0.25">
      <c r="B65" t="s">
        <v>78</v>
      </c>
      <c r="AH65" s="6">
        <v>1767</v>
      </c>
      <c r="AI65" s="6">
        <v>2061</v>
      </c>
      <c r="AJ65" s="6">
        <v>2088</v>
      </c>
      <c r="AK65" s="6">
        <v>2409</v>
      </c>
      <c r="AL65" s="6">
        <v>2376</v>
      </c>
      <c r="AM65" s="6">
        <v>2714</v>
      </c>
      <c r="AN65" s="6">
        <v>3179</v>
      </c>
      <c r="AO65" s="6">
        <v>3704</v>
      </c>
      <c r="AP65" s="6">
        <v>4059</v>
      </c>
      <c r="AQ65" s="6">
        <v>5079</v>
      </c>
      <c r="AR65" s="6">
        <v>5915</v>
      </c>
      <c r="AS65" s="6">
        <v>6292</v>
      </c>
      <c r="AT65" s="6">
        <v>7367</v>
      </c>
    </row>
    <row r="66" spans="2:46" x14ac:dyDescent="0.25">
      <c r="B66" t="s">
        <v>79</v>
      </c>
      <c r="AH66" s="6">
        <v>908</v>
      </c>
      <c r="AI66" s="6">
        <v>946</v>
      </c>
      <c r="AJ66" s="6">
        <v>1029</v>
      </c>
      <c r="AK66" s="6">
        <v>1127</v>
      </c>
      <c r="AL66" s="6">
        <v>1255</v>
      </c>
      <c r="AM66" s="6">
        <v>1370</v>
      </c>
      <c r="AN66" s="6">
        <v>1437</v>
      </c>
      <c r="AO66" s="6">
        <v>1492</v>
      </c>
      <c r="AP66" s="6">
        <v>1645</v>
      </c>
      <c r="AQ66" s="6">
        <v>1781</v>
      </c>
      <c r="AR66" s="6">
        <v>1900</v>
      </c>
      <c r="AS66" s="6">
        <v>2077</v>
      </c>
      <c r="AT66" s="6">
        <v>2237</v>
      </c>
    </row>
    <row r="67" spans="2:46" x14ac:dyDescent="0.25">
      <c r="B67" t="s">
        <v>94</v>
      </c>
      <c r="AH67" s="6"/>
      <c r="AI67" s="6"/>
      <c r="AJ67" s="6"/>
      <c r="AK67" s="6"/>
      <c r="AL67" s="6"/>
      <c r="AM67" s="6"/>
      <c r="AN67" s="6"/>
      <c r="AO67" s="6"/>
      <c r="AP67" s="6">
        <v>194</v>
      </c>
      <c r="AQ67" s="6">
        <v>286</v>
      </c>
      <c r="AR67" s="6">
        <v>377</v>
      </c>
      <c r="AS67" s="6">
        <v>412</v>
      </c>
      <c r="AT67" s="6">
        <v>315</v>
      </c>
    </row>
    <row r="68" spans="2:46" x14ac:dyDescent="0.25">
      <c r="B68" t="s">
        <v>80</v>
      </c>
      <c r="AH68" s="6">
        <v>241</v>
      </c>
      <c r="AI68" s="6">
        <v>285</v>
      </c>
      <c r="AJ68" s="6">
        <v>327</v>
      </c>
      <c r="AK68" s="6">
        <v>394</v>
      </c>
      <c r="AL68" s="6">
        <v>459</v>
      </c>
      <c r="AM68" s="6">
        <v>514</v>
      </c>
      <c r="AN68" s="6">
        <v>544</v>
      </c>
      <c r="AO68" s="6">
        <v>595</v>
      </c>
      <c r="AP68" s="6">
        <v>619</v>
      </c>
      <c r="AQ68" s="6">
        <v>665</v>
      </c>
      <c r="AR68" s="6">
        <v>724</v>
      </c>
      <c r="AS68" s="6">
        <v>774</v>
      </c>
      <c r="AT68" s="6">
        <v>818</v>
      </c>
    </row>
    <row r="69" spans="2:46" x14ac:dyDescent="0.25">
      <c r="B69" t="s">
        <v>95</v>
      </c>
      <c r="AH69" s="6">
        <f>-64+28-3</f>
        <v>-39</v>
      </c>
      <c r="AI69" s="6">
        <f>-61-7+7</f>
        <v>-61</v>
      </c>
      <c r="AJ69" s="6">
        <f>-84+22-63</f>
        <v>-125</v>
      </c>
      <c r="AK69" s="6">
        <f>-101-5-86</f>
        <v>-192</v>
      </c>
      <c r="AL69" s="6">
        <f>269-57</f>
        <v>212</v>
      </c>
      <c r="AM69" s="6">
        <f>-14-29</f>
        <v>-43</v>
      </c>
      <c r="AN69" s="6">
        <f>-49-6</f>
        <v>-55</v>
      </c>
      <c r="AO69" s="6">
        <v>147</v>
      </c>
      <c r="AP69" s="6">
        <v>104</v>
      </c>
      <c r="AQ69" s="6">
        <v>144</v>
      </c>
      <c r="AR69" s="6">
        <v>39</v>
      </c>
      <c r="AS69" s="6">
        <v>495</v>
      </c>
      <c r="AT69" s="6">
        <v>-9</v>
      </c>
    </row>
    <row r="70" spans="2:46" x14ac:dyDescent="0.25">
      <c r="B70" t="s">
        <v>81</v>
      </c>
      <c r="AH70" s="6">
        <f>-490+338+332</f>
        <v>180</v>
      </c>
      <c r="AI70" s="6">
        <f>-898+718+386</f>
        <v>206</v>
      </c>
      <c r="AJ70" s="6">
        <f>-563+529+699</f>
        <v>665</v>
      </c>
      <c r="AK70" s="6">
        <f>-890+880+557</f>
        <v>547</v>
      </c>
      <c r="AL70" s="6">
        <f>-25-1532+547</f>
        <v>-1010</v>
      </c>
      <c r="AM70" s="6">
        <f>-894+2258+807</f>
        <v>2171</v>
      </c>
      <c r="AN70" s="6">
        <f>-1313+1561+421</f>
        <v>669</v>
      </c>
      <c r="AO70" s="6">
        <f>-536+322+623</f>
        <v>409</v>
      </c>
      <c r="AP70" s="6">
        <f>-791+2261+728</f>
        <v>2198</v>
      </c>
      <c r="AQ70" s="6">
        <f>-1892+1838+1057</f>
        <v>1003</v>
      </c>
      <c r="AR70" s="6">
        <f>-4003+1891+549</f>
        <v>-1563</v>
      </c>
      <c r="AS70" s="6">
        <f>1228-382+172</f>
        <v>1018</v>
      </c>
      <c r="AT70" s="6">
        <f>-2068+1938+741</f>
        <v>611</v>
      </c>
    </row>
    <row r="71" spans="2:46" x14ac:dyDescent="0.25">
      <c r="B71" t="s">
        <v>82</v>
      </c>
      <c r="AH71" s="6">
        <f>SUM(AH65:AH70)</f>
        <v>3057</v>
      </c>
      <c r="AI71" s="6">
        <f>SUM(AI65:AI70)</f>
        <v>3437</v>
      </c>
      <c r="AJ71" s="6">
        <f>SUM(AJ65:AJ70)</f>
        <v>3984</v>
      </c>
      <c r="AK71" s="6">
        <f>SUM(AK65:AK70)</f>
        <v>4285</v>
      </c>
      <c r="AL71" s="6">
        <f>SUM(AL65:AL70)</f>
        <v>3292</v>
      </c>
      <c r="AM71" s="6">
        <f>SUM(AM65:AM70)</f>
        <v>6726</v>
      </c>
      <c r="AN71" s="6">
        <f>SUM(AN65:AN70)</f>
        <v>5774</v>
      </c>
      <c r="AO71" s="6">
        <f>SUM(AO65:AO70)</f>
        <v>6347</v>
      </c>
      <c r="AP71" s="6">
        <f>SUM(AP65:AP70)</f>
        <v>8819</v>
      </c>
      <c r="AQ71" s="6">
        <f>SUM(AQ65:AQ70)</f>
        <v>8958</v>
      </c>
      <c r="AR71" s="6">
        <f>SUM(AR65:AR70)</f>
        <v>7392</v>
      </c>
      <c r="AS71" s="6">
        <f>SUM(AS65:AS70)</f>
        <v>11068</v>
      </c>
      <c r="AT71" s="6">
        <f>SUM(AT65:AT70)</f>
        <v>11339</v>
      </c>
    </row>
    <row r="73" spans="2:46" x14ac:dyDescent="0.25">
      <c r="B73" t="s">
        <v>83</v>
      </c>
      <c r="AH73">
        <f>-2048+2303</f>
        <v>255</v>
      </c>
      <c r="AI73">
        <f>-2572+2385</f>
        <v>-187</v>
      </c>
      <c r="AJ73">
        <f>-2503+2406</f>
        <v>-97</v>
      </c>
      <c r="AK73">
        <f>-1501+1434</f>
        <v>-67</v>
      </c>
      <c r="AL73">
        <f>-1432+1709</f>
        <v>277</v>
      </c>
      <c r="AM73">
        <f>-1279+1385</f>
        <v>106</v>
      </c>
      <c r="AN73">
        <f>-1060+1078</f>
        <v>18</v>
      </c>
      <c r="AO73">
        <f>-1094+1231</f>
        <v>137</v>
      </c>
      <c r="AP73">
        <f>-1626+1678</f>
        <v>52</v>
      </c>
      <c r="AQ73">
        <f>-1331+1446</f>
        <v>115</v>
      </c>
      <c r="AR73">
        <f>-1121+1145</f>
        <v>24</v>
      </c>
      <c r="AS73">
        <f>-1622+937</f>
        <v>-685</v>
      </c>
      <c r="AT73">
        <f>-1470+1790</f>
        <v>320</v>
      </c>
    </row>
    <row r="74" spans="2:46" x14ac:dyDescent="0.25">
      <c r="B74" t="s">
        <v>84</v>
      </c>
      <c r="AH74">
        <v>-1480</v>
      </c>
      <c r="AI74">
        <v>-2083</v>
      </c>
      <c r="AJ74">
        <v>-1993</v>
      </c>
      <c r="AK74">
        <v>-2393</v>
      </c>
      <c r="AL74">
        <v>-2649</v>
      </c>
      <c r="AM74">
        <v>-2502</v>
      </c>
      <c r="AN74">
        <v>-2969</v>
      </c>
      <c r="AO74">
        <v>-2998</v>
      </c>
      <c r="AP74">
        <v>-2810</v>
      </c>
      <c r="AQ74">
        <v>-3588</v>
      </c>
      <c r="AR74">
        <v>-3891</v>
      </c>
      <c r="AS74">
        <v>-4323</v>
      </c>
      <c r="AT74">
        <v>-4710</v>
      </c>
    </row>
    <row r="75" spans="2:46" x14ac:dyDescent="0.25">
      <c r="B75" t="s">
        <v>85</v>
      </c>
      <c r="AH75">
        <v>-11</v>
      </c>
      <c r="AI75">
        <v>19</v>
      </c>
      <c r="AJ75">
        <v>-3</v>
      </c>
      <c r="AK75">
        <v>-20</v>
      </c>
      <c r="AL75">
        <v>27</v>
      </c>
      <c r="AM75">
        <v>30</v>
      </c>
      <c r="AN75">
        <v>4</v>
      </c>
      <c r="AO75">
        <v>-4</v>
      </c>
      <c r="AP75">
        <f>-1163+30</f>
        <v>-1133</v>
      </c>
      <c r="AQ75">
        <v>-62</v>
      </c>
      <c r="AR75">
        <v>-48</v>
      </c>
      <c r="AS75">
        <v>36</v>
      </c>
      <c r="AT75">
        <v>-19</v>
      </c>
    </row>
    <row r="76" spans="2:46" x14ac:dyDescent="0.25">
      <c r="B76" t="s">
        <v>86</v>
      </c>
      <c r="AH76">
        <f>SUM(AH73:AH75)</f>
        <v>-1236</v>
      </c>
      <c r="AI76">
        <f>SUM(AI73:AI75)</f>
        <v>-2251</v>
      </c>
      <c r="AJ76">
        <f>SUM(AJ73:AJ75)</f>
        <v>-2093</v>
      </c>
      <c r="AK76">
        <f>SUM(AK73:AK75)</f>
        <v>-2480</v>
      </c>
      <c r="AL76">
        <f>SUM(AL73:AL75)</f>
        <v>-2345</v>
      </c>
      <c r="AM76">
        <f>SUM(AM73:AM75)</f>
        <v>-2366</v>
      </c>
      <c r="AN76">
        <f>SUM(AN73:AN75)</f>
        <v>-2947</v>
      </c>
      <c r="AO76">
        <f>SUM(AO73:AO75)</f>
        <v>-2865</v>
      </c>
      <c r="AP76">
        <f>SUM(AP73:AP75)</f>
        <v>-3891</v>
      </c>
      <c r="AQ76">
        <f>SUM(AQ73:AQ75)</f>
        <v>-3535</v>
      </c>
      <c r="AR76">
        <f>SUM(AR73:AR75)</f>
        <v>-3915</v>
      </c>
      <c r="AS76">
        <f>SUM(AS73:AS75)</f>
        <v>-4972</v>
      </c>
      <c r="AT76">
        <f>SUM(AT73:AT75)</f>
        <v>-4409</v>
      </c>
    </row>
    <row r="78" spans="2:46" s="6" customFormat="1" x14ac:dyDescent="0.25">
      <c r="B78" s="6" t="s">
        <v>73</v>
      </c>
      <c r="AH78" s="6">
        <f>457-114+114+130-900</f>
        <v>-313</v>
      </c>
      <c r="AI78" s="6">
        <f>-70-287+326+3717</f>
        <v>3686</v>
      </c>
      <c r="AJ78" s="6">
        <f>96-103+68+117</f>
        <v>178</v>
      </c>
      <c r="AK78" s="6">
        <f>-45-51+51+1125-1</f>
        <v>1079</v>
      </c>
      <c r="AL78" s="6">
        <f>81-106+106+185-1288</f>
        <v>-1022</v>
      </c>
      <c r="AM78" s="6">
        <f>-236+3782-2200</f>
        <v>1346</v>
      </c>
      <c r="AN78" s="6">
        <f>80-86</f>
        <v>-6</v>
      </c>
      <c r="AO78" s="6">
        <f>210+298-89</f>
        <v>419</v>
      </c>
      <c r="AP78" s="6">
        <f>-3200+3992</f>
        <v>792</v>
      </c>
      <c r="AQ78" s="6">
        <f>41-94</f>
        <v>-53</v>
      </c>
      <c r="AR78" s="6">
        <f>-6+53-800</f>
        <v>-753</v>
      </c>
      <c r="AS78" s="6">
        <f>-935+917-75</f>
        <v>-93</v>
      </c>
      <c r="AT78" s="6">
        <f>-920+928-1077+498</f>
        <v>-571</v>
      </c>
    </row>
    <row r="79" spans="2:46" s="6" customFormat="1" x14ac:dyDescent="0.25">
      <c r="B79" s="6" t="s">
        <v>96</v>
      </c>
      <c r="AH79" s="6">
        <f>-107+64</f>
        <v>-43</v>
      </c>
      <c r="AI79" s="6">
        <f>-121+61</f>
        <v>-60</v>
      </c>
      <c r="AJ79" s="6">
        <f>-164+84</f>
        <v>-80</v>
      </c>
      <c r="AK79" s="6">
        <f>-178+86</f>
        <v>-92</v>
      </c>
      <c r="AL79" s="6">
        <v>-220</v>
      </c>
      <c r="AM79" s="6">
        <v>-202</v>
      </c>
      <c r="AN79" s="6">
        <v>-217</v>
      </c>
      <c r="AO79" s="6">
        <v>-272</v>
      </c>
      <c r="AP79" s="6">
        <v>-330</v>
      </c>
      <c r="AQ79" s="6">
        <v>-312</v>
      </c>
      <c r="AR79" s="6">
        <v>-363</v>
      </c>
      <c r="AS79" s="6">
        <v>-303</v>
      </c>
      <c r="AT79" s="6">
        <v>-315</v>
      </c>
    </row>
    <row r="80" spans="2:46" s="6" customFormat="1" x14ac:dyDescent="0.25">
      <c r="B80" s="6" t="s">
        <v>87</v>
      </c>
      <c r="AH80" s="6">
        <v>-632</v>
      </c>
      <c r="AI80" s="6">
        <v>-36</v>
      </c>
      <c r="AJ80" s="6">
        <v>-334</v>
      </c>
      <c r="AK80" s="6">
        <v>-481</v>
      </c>
      <c r="AL80" s="6">
        <v>-486</v>
      </c>
      <c r="AM80" s="6">
        <v>-469</v>
      </c>
      <c r="AN80" s="6">
        <v>-328</v>
      </c>
      <c r="AO80" s="6">
        <v>-247</v>
      </c>
      <c r="AP80" s="6">
        <v>-196</v>
      </c>
      <c r="AQ80" s="6">
        <v>-496</v>
      </c>
      <c r="AR80" s="6">
        <v>-439</v>
      </c>
      <c r="AS80" s="6">
        <v>-676</v>
      </c>
      <c r="AT80" s="6">
        <v>-700</v>
      </c>
    </row>
    <row r="81" spans="2:57" s="6" customFormat="1" x14ac:dyDescent="0.25">
      <c r="B81" s="6" t="s">
        <v>88</v>
      </c>
      <c r="AH81" s="6">
        <v>-446</v>
      </c>
      <c r="AI81" s="6">
        <v>-3560</v>
      </c>
      <c r="AJ81" s="6">
        <v>-584</v>
      </c>
      <c r="AK81" s="6">
        <v>-2865</v>
      </c>
      <c r="AL81" s="6">
        <v>-746</v>
      </c>
      <c r="AM81" s="6">
        <v>-3904</v>
      </c>
      <c r="AN81" s="6">
        <v>-689</v>
      </c>
      <c r="AO81" s="6">
        <v>-1038</v>
      </c>
      <c r="AP81" s="6">
        <v>-1479</v>
      </c>
      <c r="AQ81" s="6">
        <v>-5748</v>
      </c>
      <c r="AR81" s="6">
        <v>-1498</v>
      </c>
      <c r="AS81" s="6">
        <v>-1251</v>
      </c>
      <c r="AT81" s="6">
        <v>-9041</v>
      </c>
    </row>
    <row r="82" spans="2:57" s="6" customFormat="1" x14ac:dyDescent="0.25">
      <c r="B82" s="6" t="s">
        <v>43</v>
      </c>
      <c r="AH82" s="6">
        <f>-161-789-6+109</f>
        <v>-847</v>
      </c>
      <c r="AI82" s="6">
        <v>14</v>
      </c>
      <c r="AJ82" s="6">
        <v>34</v>
      </c>
      <c r="AK82" s="6">
        <v>35</v>
      </c>
      <c r="AL82" s="6">
        <v>55</v>
      </c>
      <c r="AM82" s="6">
        <v>11</v>
      </c>
      <c r="AN82" s="6">
        <v>-41</v>
      </c>
      <c r="AO82" s="6">
        <v>-9</v>
      </c>
      <c r="AP82" s="6">
        <v>66</v>
      </c>
      <c r="AQ82" s="6">
        <f>-67+188</f>
        <v>121</v>
      </c>
      <c r="AR82" s="6">
        <f>-180-208-842</f>
        <v>-1230</v>
      </c>
      <c r="AS82" s="6">
        <v>-291</v>
      </c>
      <c r="AT82" s="6">
        <v>-137</v>
      </c>
    </row>
    <row r="83" spans="2:57" s="6" customFormat="1" x14ac:dyDescent="0.25">
      <c r="B83" s="6" t="s">
        <v>89</v>
      </c>
      <c r="AH83" s="6">
        <f>SUM(AH78:AH82)</f>
        <v>-2281</v>
      </c>
      <c r="AI83" s="6">
        <f>SUM(AI78:AI82)</f>
        <v>44</v>
      </c>
      <c r="AJ83" s="6">
        <f>SUM(AJ78:AJ82)</f>
        <v>-786</v>
      </c>
      <c r="AK83" s="6">
        <f>SUM(AK78:AK82)</f>
        <v>-2324</v>
      </c>
      <c r="AL83" s="6">
        <f>SUM(AL78:AL82)</f>
        <v>-2419</v>
      </c>
      <c r="AM83" s="6">
        <f>SUM(AM78:AM82)</f>
        <v>-3218</v>
      </c>
      <c r="AN83" s="6">
        <f>SUM(AN78:AN82)</f>
        <v>-1281</v>
      </c>
      <c r="AO83" s="6">
        <f>SUM(AO78:AO82)</f>
        <v>-1147</v>
      </c>
      <c r="AP83" s="6">
        <f>SUM(AP78:AP82)</f>
        <v>-1147</v>
      </c>
      <c r="AQ83" s="6">
        <f>SUM(AQ78:AQ82)</f>
        <v>-6488</v>
      </c>
      <c r="AR83" s="6">
        <f>SUM(AR78:AR82)</f>
        <v>-4283</v>
      </c>
      <c r="AS83" s="6">
        <f>SUM(AS78:AS82)</f>
        <v>-2614</v>
      </c>
      <c r="AT83" s="6">
        <f>SUM(AT78:AT82)</f>
        <v>-10764</v>
      </c>
    </row>
    <row r="84" spans="2:57" s="6" customFormat="1" x14ac:dyDescent="0.25"/>
    <row r="85" spans="2:57" s="6" customFormat="1" x14ac:dyDescent="0.25">
      <c r="B85" s="6" t="s">
        <v>90</v>
      </c>
      <c r="AH85" s="6">
        <f>AH71+AH76+AH83</f>
        <v>-460</v>
      </c>
      <c r="AI85" s="6">
        <f>AI71+AI76+AI83</f>
        <v>1230</v>
      </c>
      <c r="AJ85" s="6">
        <f>AJ71+AJ76+AJ83</f>
        <v>1105</v>
      </c>
      <c r="AK85" s="6">
        <f>AK71+AK76+AK83</f>
        <v>-519</v>
      </c>
      <c r="AL85" s="6">
        <f>AL71+AL76+AL83</f>
        <v>-1472</v>
      </c>
      <c r="AM85" s="6">
        <f>AM71+AM76+AM83</f>
        <v>1142</v>
      </c>
      <c r="AN85" s="6">
        <f>AN71+AN76+AN83</f>
        <v>1546</v>
      </c>
      <c r="AO85" s="6">
        <f>AO71+AO76+AO83</f>
        <v>2335</v>
      </c>
      <c r="AP85" s="6">
        <f>AP71+AP76+AP83</f>
        <v>3781</v>
      </c>
      <c r="AQ85" s="6">
        <f>AQ71+AQ76+AQ83</f>
        <v>-1065</v>
      </c>
      <c r="AR85" s="6">
        <f>AR71+AR76+AR83</f>
        <v>-806</v>
      </c>
      <c r="AS85" s="6">
        <f>AS71+AS76+AS83</f>
        <v>3482</v>
      </c>
      <c r="AT85" s="6">
        <f>AT71+AT76+AT83</f>
        <v>-3834</v>
      </c>
    </row>
    <row r="87" spans="2:57" x14ac:dyDescent="0.25">
      <c r="B87" s="8" t="s">
        <v>98</v>
      </c>
      <c r="AH87" s="6">
        <f>+AH74+AH71</f>
        <v>1577</v>
      </c>
      <c r="AI87" s="6">
        <f t="shared" ref="AI87:BE87" si="83">+AI74+AI71</f>
        <v>1354</v>
      </c>
      <c r="AJ87" s="6">
        <f t="shared" si="83"/>
        <v>1991</v>
      </c>
      <c r="AK87" s="6">
        <f t="shared" si="83"/>
        <v>1892</v>
      </c>
      <c r="AL87" s="6">
        <f t="shared" si="83"/>
        <v>643</v>
      </c>
      <c r="AM87" s="6">
        <f t="shared" si="83"/>
        <v>4224</v>
      </c>
      <c r="AN87" s="6">
        <f t="shared" si="83"/>
        <v>2805</v>
      </c>
      <c r="AO87" s="6">
        <f t="shared" si="83"/>
        <v>3349</v>
      </c>
      <c r="AP87" s="6">
        <f t="shared" si="83"/>
        <v>6009</v>
      </c>
      <c r="AQ87" s="6">
        <f t="shared" si="83"/>
        <v>5370</v>
      </c>
      <c r="AR87" s="6">
        <f t="shared" si="83"/>
        <v>3501</v>
      </c>
      <c r="AS87" s="6">
        <f t="shared" si="83"/>
        <v>6745</v>
      </c>
      <c r="AT87" s="6">
        <f t="shared" si="83"/>
        <v>6629</v>
      </c>
      <c r="AU87" s="6">
        <f t="shared" si="83"/>
        <v>0</v>
      </c>
      <c r="AV87" s="6">
        <f t="shared" si="83"/>
        <v>0</v>
      </c>
      <c r="AW87" s="6">
        <f t="shared" si="83"/>
        <v>0</v>
      </c>
      <c r="AX87" s="6">
        <f t="shared" si="83"/>
        <v>0</v>
      </c>
      <c r="AY87" s="6">
        <f t="shared" si="83"/>
        <v>0</v>
      </c>
      <c r="AZ87" s="6">
        <f t="shared" si="83"/>
        <v>0</v>
      </c>
      <c r="BA87" s="6">
        <f t="shared" si="83"/>
        <v>0</v>
      </c>
      <c r="BB87" s="6">
        <f t="shared" si="83"/>
        <v>0</v>
      </c>
      <c r="BC87" s="6">
        <f t="shared" si="83"/>
        <v>0</v>
      </c>
      <c r="BD87" s="6">
        <f t="shared" si="83"/>
        <v>0</v>
      </c>
      <c r="BE87" s="6">
        <f t="shared" si="83"/>
        <v>0</v>
      </c>
    </row>
  </sheetData>
  <pageMargins left="0.7" right="0.7" top="0.75" bottom="0.75" header="0.3" footer="0.3"/>
  <ignoredErrors>
    <ignoredError sqref="AT27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Assumptions</vt:lpstr>
      <vt:lpstr>WACC</vt:lpstr>
      <vt:lpstr>DCF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Dantas Jr</dc:creator>
  <cp:lastModifiedBy>Daniel Dantas Jr</cp:lastModifiedBy>
  <dcterms:created xsi:type="dcterms:W3CDTF">2024-12-13T15:19:35Z</dcterms:created>
  <dcterms:modified xsi:type="dcterms:W3CDTF">2024-12-18T13:05:03Z</dcterms:modified>
</cp:coreProperties>
</file>