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C:\Users\Djoze\Documents\Projects\Dashboards\"/>
    </mc:Choice>
  </mc:AlternateContent>
  <xr:revisionPtr revIDLastSave="0" documentId="13_ncr:1_{61B5F5C1-ED5B-4099-AA82-642DDB261177}" xr6:coauthVersionLast="47" xr6:coauthVersionMax="47" xr10:uidLastSave="{00000000-0000-0000-0000-000000000000}"/>
  <bookViews>
    <workbookView xWindow="-120" yWindow="-120" windowWidth="29040" windowHeight="15840" activeTab="1" xr2:uid="{05552FAD-72BD-4759-BB03-336FD7B81B45}"/>
  </bookViews>
  <sheets>
    <sheet name="Dashboard" sheetId="1" r:id="rId1"/>
    <sheet name="Bets" sheetId="3" r:id="rId2"/>
    <sheet name="Deposits" sheetId="5" r:id="rId3"/>
    <sheet name="Analysis" sheetId="8" r:id="rId4"/>
    <sheet name="Validations" sheetId="4" r:id="rId5"/>
  </sheets>
  <externalReferences>
    <externalReference r:id="rId6"/>
  </externalReferences>
  <definedNames>
    <definedName name="dateRange">TableBets[Date]</definedName>
    <definedName name="listBetOutcome">TableBetOutcome[]</definedName>
    <definedName name="listBetType">TableBetType[]</definedName>
    <definedName name="listMovement">TableMovementTypes[]</definedName>
    <definedName name="listSport">TableSport[]</definedName>
    <definedName name="listTipster">TableTipster[]</definedName>
    <definedName name="listYesNo">TableYesNo[Yes/No]</definedName>
    <definedName name="SETTINGS_AC">[1]Settings!$AD$3</definedName>
    <definedName name="SETTINGS_AGENCIES">[1]Settings!$C$6:$C$305</definedName>
    <definedName name="SETTINGS_BC">[1]Settings!$AF$3</definedName>
    <definedName name="SETTINGS_BET_TYPES">[1]Settings!$I$6:$I$305</definedName>
    <definedName name="SETTINGS_CAPPERS">[1]Settings!$K$6:$K$305</definedName>
    <definedName name="SETTINGS_CC">[1]Settings!$AH$3</definedName>
    <definedName name="SETTINGS_CUSTOM">[1]Settings!$M$6:$M$305</definedName>
    <definedName name="SETTINGS_SC">[1]Settings!$AE$3</definedName>
    <definedName name="SETTINGS_SPORTS">[1]Settings!$G$6:$G$305</definedName>
    <definedName name="SETTINGS_TC">[1]Settings!$AG$3</definedName>
    <definedName name="Slicer_Bet_Type">#N/A</definedName>
    <definedName name="Slicer_Months__Date">#N/A</definedName>
    <definedName name="Slicer_Sport">#N/A</definedName>
    <definedName name="Slicer_Tipster">#N/A</definedName>
  </definedNames>
  <calcPr calcId="191029"/>
  <pivotCaches>
    <pivotCache cacheId="130" r:id="rId7"/>
    <pivotCache cacheId="133"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S248" i="3" l="1"/>
  <c r="R248" i="3"/>
  <c r="M251" i="3"/>
  <c r="R247" i="3"/>
  <c r="M250" i="3"/>
  <c r="R246" i="3" l="1"/>
  <c r="M249" i="3"/>
  <c r="R245" i="3"/>
  <c r="M248" i="3"/>
  <c r="R244" i="3"/>
  <c r="M247" i="3"/>
  <c r="R243" i="3"/>
  <c r="M246" i="3"/>
  <c r="R242" i="3"/>
  <c r="M245" i="3"/>
  <c r="R241" i="3"/>
  <c r="M244" i="3"/>
  <c r="R240" i="3"/>
  <c r="M243" i="3"/>
  <c r="R239" i="3"/>
  <c r="M242" i="3"/>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R238" i="3"/>
  <c r="R237" i="3"/>
  <c r="R236" i="3"/>
  <c r="R235" i="3"/>
  <c r="R234" i="3"/>
  <c r="R233" i="3"/>
  <c r="R232" i="3"/>
  <c r="R231" i="3"/>
  <c r="R230" i="3"/>
  <c r="R229" i="3"/>
  <c r="R228" i="3"/>
  <c r="R227" i="3"/>
  <c r="R226" i="3"/>
  <c r="R225" i="3"/>
  <c r="R224" i="3"/>
  <c r="R223" i="3"/>
  <c r="R222" i="3"/>
  <c r="R221" i="3"/>
  <c r="R220" i="3"/>
  <c r="J21" i="8"/>
  <c r="Q10" i="8"/>
  <c r="R10" i="8" s="1"/>
  <c r="Q4" i="8"/>
  <c r="S4" i="8" s="1"/>
  <c r="Q9" i="8"/>
  <c r="S9" i="8" s="1"/>
  <c r="Q8" i="8"/>
  <c r="S8" i="8" s="1"/>
  <c r="Q7" i="8"/>
  <c r="S7" i="8" s="1"/>
  <c r="Q6" i="8"/>
  <c r="S6" i="8" s="1"/>
  <c r="Q5" i="8"/>
  <c r="S5" i="8" s="1"/>
  <c r="R219" i="3"/>
  <c r="R218" i="3"/>
  <c r="R217" i="3"/>
  <c r="R216" i="3"/>
  <c r="R215" i="3"/>
  <c r="R214" i="3"/>
  <c r="R213" i="3"/>
  <c r="R212" i="3"/>
  <c r="AC4" i="8"/>
  <c r="L15" i="8"/>
  <c r="H3" i="8"/>
  <c r="AB4" i="8"/>
  <c r="AB6" i="8"/>
  <c r="I13" i="8"/>
  <c r="AE3" i="8"/>
  <c r="E1" i="8"/>
  <c r="B1" i="8"/>
  <c r="L17" i="8"/>
  <c r="L16" i="8" l="1"/>
  <c r="H1" i="8"/>
  <c r="R4" i="8"/>
  <c r="R5" i="8"/>
  <c r="R6" i="8"/>
  <c r="R7" i="8"/>
  <c r="R9" i="8"/>
  <c r="R11" i="8"/>
  <c r="R8" i="8"/>
  <c r="S10" i="8"/>
  <c r="S11" i="8" s="1"/>
  <c r="R211" i="3"/>
  <c r="R210" i="3"/>
  <c r="R209" i="3"/>
  <c r="R208" i="3"/>
  <c r="R207" i="3"/>
  <c r="R206" i="3"/>
  <c r="R205" i="3"/>
  <c r="R204" i="3"/>
  <c r="R203" i="3"/>
  <c r="R202" i="3"/>
  <c r="R20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3" i="3"/>
  <c r="R2" i="3"/>
  <c r="Z10" i="8" l="1"/>
  <c r="AA10" i="8" s="1"/>
  <c r="Z9" i="8"/>
  <c r="AA9" i="8" s="1"/>
  <c r="P1"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S145" i="3" s="1"/>
  <c r="S146" i="3" s="1"/>
  <c r="S147" i="3" s="1"/>
  <c r="S148" i="3" s="1"/>
  <c r="S149" i="3" s="1"/>
  <c r="S150" i="3" s="1"/>
  <c r="S151" i="3" s="1"/>
  <c r="S152" i="3" s="1"/>
  <c r="S153" i="3" s="1"/>
  <c r="S154" i="3" s="1"/>
  <c r="S155" i="3" s="1"/>
  <c r="S156" i="3" s="1"/>
  <c r="S157" i="3" s="1"/>
  <c r="S158" i="3" s="1"/>
  <c r="S159" i="3" s="1"/>
  <c r="S160" i="3" s="1"/>
  <c r="S161" i="3" s="1"/>
  <c r="S162" i="3" s="1"/>
  <c r="S163" i="3" s="1"/>
  <c r="S164" i="3" s="1"/>
  <c r="S165" i="3" s="1"/>
  <c r="S166" i="3" s="1"/>
  <c r="S167" i="3" s="1"/>
  <c r="S168" i="3" s="1"/>
  <c r="S169" i="3" s="1"/>
  <c r="S170" i="3" s="1"/>
  <c r="S171" i="3" s="1"/>
  <c r="S172" i="3" s="1"/>
  <c r="S173" i="3" s="1"/>
  <c r="S174" i="3" s="1"/>
  <c r="S175" i="3" s="1"/>
  <c r="S176" i="3" s="1"/>
  <c r="S177" i="3" s="1"/>
  <c r="S178" i="3" s="1"/>
  <c r="S179" i="3" s="1"/>
  <c r="S180" i="3" s="1"/>
  <c r="S181" i="3" s="1"/>
  <c r="S182" i="3" s="1"/>
  <c r="S183" i="3" s="1"/>
  <c r="S184" i="3" s="1"/>
  <c r="S185" i="3" s="1"/>
  <c r="S186" i="3" s="1"/>
  <c r="S187" i="3" s="1"/>
  <c r="S188" i="3" s="1"/>
  <c r="S189" i="3" s="1"/>
  <c r="S190" i="3" s="1"/>
  <c r="S191" i="3" s="1"/>
  <c r="S192" i="3" s="1"/>
  <c r="S193" i="3" s="1"/>
  <c r="S194" i="3" s="1"/>
  <c r="S195" i="3" s="1"/>
  <c r="S196" i="3" s="1"/>
  <c r="S197" i="3" s="1"/>
  <c r="S198" i="3" s="1"/>
  <c r="S199" i="3" s="1"/>
  <c r="S200" i="3" s="1"/>
  <c r="S201" i="3" s="1"/>
  <c r="S202" i="3" s="1"/>
  <c r="S203" i="3" s="1"/>
  <c r="S204" i="3" s="1"/>
  <c r="S205" i="3" s="1"/>
  <c r="S206" i="3" s="1"/>
  <c r="S207" i="3" s="1"/>
  <c r="S208" i="3" s="1"/>
  <c r="S209" i="3" s="1"/>
  <c r="S210" i="3" s="1"/>
  <c r="S211" i="3" s="1"/>
  <c r="S212" i="3" s="1"/>
  <c r="S213" i="3" s="1"/>
  <c r="S214" i="3" s="1"/>
  <c r="S215" i="3" s="1"/>
  <c r="S216" i="3" s="1"/>
  <c r="S217" i="3" s="1"/>
  <c r="S218" i="3" s="1"/>
  <c r="S219" i="3" s="1"/>
  <c r="S220" i="3" s="1"/>
  <c r="S221" i="3" s="1"/>
  <c r="S222" i="3" s="1"/>
  <c r="S223" i="3" s="1"/>
  <c r="S224" i="3" s="1"/>
  <c r="S225" i="3" s="1"/>
  <c r="S226" i="3" s="1"/>
  <c r="S227" i="3" s="1"/>
  <c r="S228" i="3" s="1"/>
  <c r="S229" i="3" s="1"/>
  <c r="S230" i="3" s="1"/>
  <c r="S231" i="3" s="1"/>
  <c r="S232" i="3" s="1"/>
  <c r="S233" i="3" s="1"/>
  <c r="S234" i="3" s="1"/>
  <c r="S235" i="3" s="1"/>
  <c r="S236" i="3" s="1"/>
  <c r="S237" i="3" s="1"/>
  <c r="S238" i="3" s="1"/>
  <c r="S239" i="3" s="1"/>
  <c r="S240" i="3" s="1"/>
  <c r="S241" i="3" s="1"/>
  <c r="S242" i="3" s="1"/>
  <c r="S243" i="3" s="1"/>
  <c r="S244" i="3" s="1"/>
  <c r="S245" i="3" s="1"/>
  <c r="S246" i="3" s="1"/>
  <c r="S247" i="3" s="1"/>
  <c r="G16" i="8" l="1"/>
  <c r="G19"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8CE91C-FE81-410F-B5C8-842472D1A17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<sst xmlns="http://schemas.openxmlformats.org/spreadsheetml/2006/main" count="2377" uniqueCount="487">
  <si>
    <t>Sport Name</t>
  </si>
  <si>
    <t>Bet Type</t>
  </si>
  <si>
    <t>CS:GO</t>
  </si>
  <si>
    <t>Winner</t>
  </si>
  <si>
    <t>League of Legends</t>
  </si>
  <si>
    <t>Over / Under Maps</t>
  </si>
  <si>
    <t>Shyux</t>
  </si>
  <si>
    <t>NFL</t>
  </si>
  <si>
    <t>Over / Under Score</t>
  </si>
  <si>
    <t>Doodoo</t>
  </si>
  <si>
    <t>Valorant</t>
  </si>
  <si>
    <t>Handicap Maps</t>
  </si>
  <si>
    <t>Rainbow Six</t>
  </si>
  <si>
    <t>Handicap Rounds</t>
  </si>
  <si>
    <t>NHL</t>
  </si>
  <si>
    <t>Accumulator</t>
  </si>
  <si>
    <t>Bet Outcome</t>
  </si>
  <si>
    <t>Pending</t>
  </si>
  <si>
    <t>Won</t>
  </si>
  <si>
    <t>Lost</t>
  </si>
  <si>
    <t>Refund</t>
  </si>
  <si>
    <t>Date</t>
  </si>
  <si>
    <t>Sport</t>
  </si>
  <si>
    <t>Selection</t>
  </si>
  <si>
    <t>Fixture / Event</t>
  </si>
  <si>
    <t>Stake</t>
  </si>
  <si>
    <t>Odds</t>
  </si>
  <si>
    <t>Win</t>
  </si>
  <si>
    <t>Havu</t>
  </si>
  <si>
    <t>Havu v Jano map 2</t>
  </si>
  <si>
    <t>N</t>
  </si>
  <si>
    <t>16-11</t>
  </si>
  <si>
    <t>Y</t>
  </si>
  <si>
    <t>Arvum</t>
  </si>
  <si>
    <t>Arvum v Los Grandes Acad</t>
  </si>
  <si>
    <t>2-0</t>
  </si>
  <si>
    <t>Finest</t>
  </si>
  <si>
    <t>Team Finest v Bluejays</t>
  </si>
  <si>
    <t>0-2</t>
  </si>
  <si>
    <t>Los Kogutos</t>
  </si>
  <si>
    <t>Sinners v Los Kogutos map 1</t>
  </si>
  <si>
    <t>16-12</t>
  </si>
  <si>
    <t>Falcons</t>
  </si>
  <si>
    <t>Falcons v LDLC map 1</t>
  </si>
  <si>
    <t>Falcons v LDLC map 2</t>
  </si>
  <si>
    <t>19-17</t>
  </si>
  <si>
    <t>Nexus</t>
  </si>
  <si>
    <t>Nexus v Take Aim</t>
  </si>
  <si>
    <t>1-2</t>
  </si>
  <si>
    <t>Apeks -1,5</t>
  </si>
  <si>
    <t>eSuba v Apeks</t>
  </si>
  <si>
    <t>Windingo</t>
  </si>
  <si>
    <t>MOB v Windingo map 2</t>
  </si>
  <si>
    <t>11-16</t>
  </si>
  <si>
    <t>MOB</t>
  </si>
  <si>
    <t>MOB v Windingo map 3</t>
  </si>
  <si>
    <t>16-9</t>
  </si>
  <si>
    <t>Villainous Union</t>
  </si>
  <si>
    <t>DNA v Villainous Union map 2</t>
  </si>
  <si>
    <t>15-19</t>
  </si>
  <si>
    <t>Davenport +8,5</t>
  </si>
  <si>
    <t>Davenport Univ v TeamOne</t>
  </si>
  <si>
    <t>9-16</t>
  </si>
  <si>
    <t>Strife +1,5</t>
  </si>
  <si>
    <t>Nouns v Strife</t>
  </si>
  <si>
    <t>2-1</t>
  </si>
  <si>
    <t>Big Omen Acad</t>
  </si>
  <si>
    <t>BIG OMEN Acad v mouZ NXT</t>
  </si>
  <si>
    <t>Bad News Eagles</t>
  </si>
  <si>
    <t>Bad News Eagles v Endpoint</t>
  </si>
  <si>
    <t>Eternal Fire +1,5</t>
  </si>
  <si>
    <t>Eternal Fire v Furia</t>
  </si>
  <si>
    <t>Liquid -1,5</t>
  </si>
  <si>
    <t>Team Liquid v Movistar Riders</t>
  </si>
  <si>
    <t>Bad News Eagles v Endpoint map 2</t>
  </si>
  <si>
    <t>16-5</t>
  </si>
  <si>
    <t>BIG OMEN Acad v mouZ NXT map 2</t>
  </si>
  <si>
    <t>16-19</t>
  </si>
  <si>
    <t>Sprout</t>
  </si>
  <si>
    <t>Sprout v sAw map 2</t>
  </si>
  <si>
    <t>Sprout v sAw</t>
  </si>
  <si>
    <t>Team BDS</t>
  </si>
  <si>
    <t>GameWard v Team BDS map 1</t>
  </si>
  <si>
    <t>15-24</t>
  </si>
  <si>
    <t>GameWard v Team BDS map 2</t>
  </si>
  <si>
    <t>6-17</t>
  </si>
  <si>
    <t>FunPlus Blaze +1,5</t>
  </si>
  <si>
    <t>FunPlus Blaze v EDG Youth</t>
  </si>
  <si>
    <t>2-3</t>
  </si>
  <si>
    <t>Movistar Riders +3,5</t>
  </si>
  <si>
    <t>Team Liquid v Movistar Riders map 3</t>
  </si>
  <si>
    <t>16-13</t>
  </si>
  <si>
    <t>Heretics +2,5</t>
  </si>
  <si>
    <t>Team Heretics v LDLC</t>
  </si>
  <si>
    <t>3-1</t>
  </si>
  <si>
    <t>Bluejays</t>
  </si>
  <si>
    <t>Bluejays v Into the Breach map 2</t>
  </si>
  <si>
    <t>16-14</t>
  </si>
  <si>
    <t>Eternal Fire +6,5</t>
  </si>
  <si>
    <t>Cloud9 v Eternal Fire map 1</t>
  </si>
  <si>
    <t>Vertex</t>
  </si>
  <si>
    <t>Antic v  Vertex</t>
  </si>
  <si>
    <t>Team Finest v Masonic</t>
  </si>
  <si>
    <t>Eternal Fire</t>
  </si>
  <si>
    <t>Cloud9 v Eternal Fire map 2</t>
  </si>
  <si>
    <t>Team Finest v Masonic map 2</t>
  </si>
  <si>
    <t>17-19</t>
  </si>
  <si>
    <t>Movistar Riders +10,5</t>
  </si>
  <si>
    <t>Movistar Riders v Furia map 1</t>
  </si>
  <si>
    <t>3-16</t>
  </si>
  <si>
    <t>Jano</t>
  </si>
  <si>
    <t>Pact v Jano map 2</t>
  </si>
  <si>
    <t>10-16</t>
  </si>
  <si>
    <t>Furia</t>
  </si>
  <si>
    <t>Movistar Riders v Furia map 2</t>
  </si>
  <si>
    <t>13-16</t>
  </si>
  <si>
    <t>LDLC</t>
  </si>
  <si>
    <t>Team Heretics v LDLC map 2</t>
  </si>
  <si>
    <t>5-17</t>
  </si>
  <si>
    <t>Team Heretics v LDLC map 3</t>
  </si>
  <si>
    <t>19-9</t>
  </si>
  <si>
    <t>Into the Breach</t>
  </si>
  <si>
    <t>Into the Breach v Sinners</t>
  </si>
  <si>
    <t>Union</t>
  </si>
  <si>
    <t>9z Acad v Union map 2</t>
  </si>
  <si>
    <t>Team One</t>
  </si>
  <si>
    <t>EG Black v TeamOne map 1</t>
  </si>
  <si>
    <t>Daotsu</t>
  </si>
  <si>
    <t>Fusion v Daotsu</t>
  </si>
  <si>
    <t>EG Black</t>
  </si>
  <si>
    <t>EG Black v TeamOne map 2</t>
  </si>
  <si>
    <t>14-16</t>
  </si>
  <si>
    <t>Eternal Fire v Evil Geniuses map 1</t>
  </si>
  <si>
    <t>Liquid</t>
  </si>
  <si>
    <t>Team Liquid v Furia</t>
  </si>
  <si>
    <t>Paqueta</t>
  </si>
  <si>
    <t>Paqueta v Furia Acad</t>
  </si>
  <si>
    <t>MAX +1,5</t>
  </si>
  <si>
    <t>T1 Challengers v MAX E-Sports</t>
  </si>
  <si>
    <t>Isurus</t>
  </si>
  <si>
    <t>MIBR Acad v Isurus map 2</t>
  </si>
  <si>
    <t>Movistar Riders +7,5</t>
  </si>
  <si>
    <t>Cloud9 v Movistar Riders map 1</t>
  </si>
  <si>
    <t>16-7</t>
  </si>
  <si>
    <t>Cloud9 -4,5</t>
  </si>
  <si>
    <t>Cloud9 v Movistar Riders map 2</t>
  </si>
  <si>
    <t>16-4</t>
  </si>
  <si>
    <t>Over 2,5</t>
  </si>
  <si>
    <t>Eternal Fire v Evil Geniuses</t>
  </si>
  <si>
    <t>For The Win v Big Omen Acad</t>
  </si>
  <si>
    <t>Masonic</t>
  </si>
  <si>
    <t>Ecstatic v Masonic</t>
  </si>
  <si>
    <t>19-16</t>
  </si>
  <si>
    <t>Windingo +1,5</t>
  </si>
  <si>
    <t>Windingo v Sharks</t>
  </si>
  <si>
    <t>Eternal Fire -3,5</t>
  </si>
  <si>
    <t>Eternal Fire v Evil Geniuses map 2</t>
  </si>
  <si>
    <t>4-16</t>
  </si>
  <si>
    <t>Team One v BHOP</t>
  </si>
  <si>
    <t>25-23</t>
  </si>
  <si>
    <t>River Plat v MOB</t>
  </si>
  <si>
    <t>16-10</t>
  </si>
  <si>
    <t>Mouz</t>
  </si>
  <si>
    <t>Mouz v Sinners</t>
  </si>
  <si>
    <t>Paqueta v Furia Acad map 2</t>
  </si>
  <si>
    <t>Nouns +8,5</t>
  </si>
  <si>
    <t>Nouns v Team One map 1</t>
  </si>
  <si>
    <t>7-16</t>
  </si>
  <si>
    <t>Furious v Union</t>
  </si>
  <si>
    <t>6-16</t>
  </si>
  <si>
    <t>Evil Geniuses</t>
  </si>
  <si>
    <t>Movistar Riders v Evil Geniuses map 1</t>
  </si>
  <si>
    <t>Movistar Riders</t>
  </si>
  <si>
    <t>Movistar Riders v Evil Geniuses map 2</t>
  </si>
  <si>
    <t>8-16</t>
  </si>
  <si>
    <t>Los Kogutos v Illuminar map 2</t>
  </si>
  <si>
    <t>1-16</t>
  </si>
  <si>
    <t>Team Liquid v Eternal Fire</t>
  </si>
  <si>
    <t>Meta Gaming BR</t>
  </si>
  <si>
    <t>Meta Gaming BR v Isurus map 2</t>
  </si>
  <si>
    <t>12-16</t>
  </si>
  <si>
    <t>MOB v Furious</t>
  </si>
  <si>
    <t>Team One +1,5</t>
  </si>
  <si>
    <t>Team One v Evil Geniuses White</t>
  </si>
  <si>
    <t>Furia +4,5</t>
  </si>
  <si>
    <t>Cloud9 v Furia map 1</t>
  </si>
  <si>
    <t>16-8</t>
  </si>
  <si>
    <t>Fluxo -2,5</t>
  </si>
  <si>
    <t>Corinthians v Fluxo</t>
  </si>
  <si>
    <t>Cloud0 v Furia map 1</t>
  </si>
  <si>
    <t>Havu v Masonic</t>
  </si>
  <si>
    <t>Anonymo v Into the Breach</t>
  </si>
  <si>
    <t>Team BDS Acad</t>
  </si>
  <si>
    <t>Team Heretics v Team BDS Acad map 2</t>
  </si>
  <si>
    <t>17-15</t>
  </si>
  <si>
    <t>Masonic +1,5</t>
  </si>
  <si>
    <t>Cloud9</t>
  </si>
  <si>
    <t>Cloud9 v Team Liquid</t>
  </si>
  <si>
    <t>Sinners v Eternal Fire</t>
  </si>
  <si>
    <t>Sinners</t>
  </si>
  <si>
    <t>Team Finest v Sinners</t>
  </si>
  <si>
    <t>Meta Gaming BR -1,5</t>
  </si>
  <si>
    <t>Meta Gaming BR v River Plate</t>
  </si>
  <si>
    <t>Fnatic +1,5</t>
  </si>
  <si>
    <t>Fnatic v Team Liquid</t>
  </si>
  <si>
    <t>Sinners +1,5</t>
  </si>
  <si>
    <t>HEET v Sinners</t>
  </si>
  <si>
    <t>Faze</t>
  </si>
  <si>
    <t>Faze v Complexity map 2</t>
  </si>
  <si>
    <t>Mythic</t>
  </si>
  <si>
    <t>Mythic v Unjustified Gaming</t>
  </si>
  <si>
    <t>Team Finest v Illuminar</t>
  </si>
  <si>
    <t>Outsiders +1,5</t>
  </si>
  <si>
    <t>Furia v Outsiders</t>
  </si>
  <si>
    <t>Bluejays v Masonic map 2</t>
  </si>
  <si>
    <t>G2 +1,5</t>
  </si>
  <si>
    <t>G2 v NaVi</t>
  </si>
  <si>
    <t>Finest +1,5</t>
  </si>
  <si>
    <t>Team Finest v Forze</t>
  </si>
  <si>
    <t>Team Finest v Forze map 2</t>
  </si>
  <si>
    <t>Skade X</t>
  </si>
  <si>
    <t>Skade X v Titans map 1</t>
  </si>
  <si>
    <t>Vitality v Outsiders map 2</t>
  </si>
  <si>
    <t>Dynamo Eclot</t>
  </si>
  <si>
    <t>Dynamo Eclot v Sangal Esports map 2</t>
  </si>
  <si>
    <t>G2</t>
  </si>
  <si>
    <t>G2 v NaVimap 2</t>
  </si>
  <si>
    <t>Liquid +1,5</t>
  </si>
  <si>
    <t>Team Liquid v Cloud9</t>
  </si>
  <si>
    <t>Vitality</t>
  </si>
  <si>
    <t>Team Liquid v Vitality</t>
  </si>
  <si>
    <t>LDLC v 00Prospects</t>
  </si>
  <si>
    <t>Partizan</t>
  </si>
  <si>
    <t>OG Acad v Partizan Esports</t>
  </si>
  <si>
    <t>Team Liquid v Vitality map 2</t>
  </si>
  <si>
    <t>Team Liquid v Vitality map 3</t>
  </si>
  <si>
    <t>25-21</t>
  </si>
  <si>
    <t>Spirit</t>
  </si>
  <si>
    <t>Spirit v 1Win</t>
  </si>
  <si>
    <t>NIP</t>
  </si>
  <si>
    <t>NIP v Astralis</t>
  </si>
  <si>
    <t>Forze</t>
  </si>
  <si>
    <t>Forze v 1Win</t>
  </si>
  <si>
    <t>Faze v Fnatic</t>
  </si>
  <si>
    <t>O Plano v Team One</t>
  </si>
  <si>
    <t>Forze v Ecstatic map 2</t>
  </si>
  <si>
    <t>NaVi</t>
  </si>
  <si>
    <t>NaVi v Outsiders</t>
  </si>
  <si>
    <t>OG</t>
  </si>
  <si>
    <t>Falcons v OG</t>
  </si>
  <si>
    <t>Faze v Sprout map 2</t>
  </si>
  <si>
    <t>Cloud9 v NIP map 2</t>
  </si>
  <si>
    <t>Fnatic</t>
  </si>
  <si>
    <t>Fnatic v Eternal Fire</t>
  </si>
  <si>
    <t>Spirit v Bad News Eagles</t>
  </si>
  <si>
    <t>Astralis v Forze</t>
  </si>
  <si>
    <t>HEET</t>
  </si>
  <si>
    <t>HEET v Saw</t>
  </si>
  <si>
    <t>Ence</t>
  </si>
  <si>
    <t>Ence v Big</t>
  </si>
  <si>
    <t>IHC</t>
  </si>
  <si>
    <t>IHC v JiJie International</t>
  </si>
  <si>
    <t>Complexity</t>
  </si>
  <si>
    <t>Complexity v 00Nation</t>
  </si>
  <si>
    <t>GamerLegion v G2</t>
  </si>
  <si>
    <t>Imperial</t>
  </si>
  <si>
    <t>Imperial v Team One map 2</t>
  </si>
  <si>
    <t>Grayhound</t>
  </si>
  <si>
    <t>IHC v Grayhound</t>
  </si>
  <si>
    <t>Grayhound +1,5</t>
  </si>
  <si>
    <t>Heroic</t>
  </si>
  <si>
    <t>BIG v Heroic</t>
  </si>
  <si>
    <t>Mouz +1,5</t>
  </si>
  <si>
    <t>Mouz v Vitality</t>
  </si>
  <si>
    <t>BIG v Heroic map 2</t>
  </si>
  <si>
    <t>JiJiehao Int</t>
  </si>
  <si>
    <t>JiJie International v Grayhound</t>
  </si>
  <si>
    <t>Under 42</t>
  </si>
  <si>
    <t>Green Bay Packers v  NY Giants</t>
  </si>
  <si>
    <t>22-27</t>
  </si>
  <si>
    <t>Imperial v Pain map 2</t>
  </si>
  <si>
    <t>Team Spirit v Cloud9 map 2</t>
  </si>
  <si>
    <t>Sangal</t>
  </si>
  <si>
    <t>Mouz v Sangal map 1</t>
  </si>
  <si>
    <t>Mouz v Sangal map 2</t>
  </si>
  <si>
    <t>Spirit v Cloud9</t>
  </si>
  <si>
    <t>OG v Heroic</t>
  </si>
  <si>
    <t>Complexity v Imperial map 2</t>
  </si>
  <si>
    <t>IKLA</t>
  </si>
  <si>
    <t>IKLA v Into the Breach</t>
  </si>
  <si>
    <t>-</t>
  </si>
  <si>
    <t>Tricked</t>
  </si>
  <si>
    <t>Tricked v needDoctor map 1</t>
  </si>
  <si>
    <t>Avangar</t>
  </si>
  <si>
    <t>Avangar v Anonymo</t>
  </si>
  <si>
    <t>needDoctor</t>
  </si>
  <si>
    <t>Tricked v needDoctor map 2</t>
  </si>
  <si>
    <t>LDLC +1,5</t>
  </si>
  <si>
    <t>LDLC v HEET</t>
  </si>
  <si>
    <t>Cryptova v Avangar map 1</t>
  </si>
  <si>
    <t>Wave +0,5</t>
  </si>
  <si>
    <t>Wave Tsunami v Alternate aTTax</t>
  </si>
  <si>
    <t>1-1</t>
  </si>
  <si>
    <t>Forsaken</t>
  </si>
  <si>
    <t>Los Kogutos v Forsaken</t>
  </si>
  <si>
    <t>Avez v Los Kogutos</t>
  </si>
  <si>
    <t>Cryptova v Avangar map 2</t>
  </si>
  <si>
    <t>Eyeballers +1,5</t>
  </si>
  <si>
    <t>Ecstatic v Eyeballers</t>
  </si>
  <si>
    <t>Partizan +1,5</t>
  </si>
  <si>
    <t>IKLA v Partizan</t>
  </si>
  <si>
    <t>Tricked v 9ine</t>
  </si>
  <si>
    <t>Wolsung</t>
  </si>
  <si>
    <t>eSuba v Wolsung map 1</t>
  </si>
  <si>
    <t>Skade</t>
  </si>
  <si>
    <t>Skade v Ungentium</t>
  </si>
  <si>
    <t>Finest v Sprout map 1</t>
  </si>
  <si>
    <t>Tricked v 9ine map 1</t>
  </si>
  <si>
    <t>Finest v Sprout map 2</t>
  </si>
  <si>
    <t>Finest v Sprout</t>
  </si>
  <si>
    <t>Tricked v 9ine map 2</t>
  </si>
  <si>
    <t>IKLA v Into the Breach map 1</t>
  </si>
  <si>
    <t>Into the Breach v Titans</t>
  </si>
  <si>
    <t>Antic</t>
  </si>
  <si>
    <t>Antic v Yellow</t>
  </si>
  <si>
    <t>Saw</t>
  </si>
  <si>
    <t>Dynamo Eclot v Saw</t>
  </si>
  <si>
    <t>Fnatic Rising</t>
  </si>
  <si>
    <t>Fnatic Rising v IKLA map 2</t>
  </si>
  <si>
    <t>22-18</t>
  </si>
  <si>
    <t>Fnatic Rising v OG Acad</t>
  </si>
  <si>
    <t>Ago</t>
  </si>
  <si>
    <t>Blink v Partizan</t>
  </si>
  <si>
    <t>Titans</t>
  </si>
  <si>
    <t>Into the Breach v Titans map 2</t>
  </si>
  <si>
    <t>Alternate v Tricked</t>
  </si>
  <si>
    <t>Under 5,5</t>
  </si>
  <si>
    <t>Ducks v Kraken</t>
  </si>
  <si>
    <t>5-4</t>
  </si>
  <si>
    <t>Ago v Avez</t>
  </si>
  <si>
    <t>Wildcard +2,5</t>
  </si>
  <si>
    <t>Dire Wolves v Wildcard</t>
  </si>
  <si>
    <t>7-2</t>
  </si>
  <si>
    <t>Iron Wolves v Fnatic Rising</t>
  </si>
  <si>
    <t>XSET</t>
  </si>
  <si>
    <t>XSET v DarkZero</t>
  </si>
  <si>
    <t>Tipster</t>
  </si>
  <si>
    <t>Acca</t>
  </si>
  <si>
    <t>1-7</t>
  </si>
  <si>
    <t>Movement</t>
  </si>
  <si>
    <t>Value</t>
  </si>
  <si>
    <t>Deposit</t>
  </si>
  <si>
    <t>Withdrawal</t>
  </si>
  <si>
    <t>Movement Types</t>
  </si>
  <si>
    <t>Row Labels</t>
  </si>
  <si>
    <t>Sum of Value</t>
  </si>
  <si>
    <t>Profit</t>
  </si>
  <si>
    <t>Starting Bankroll</t>
  </si>
  <si>
    <t>Sum of Profit</t>
  </si>
  <si>
    <t>Total of Deposits and Withdrawals</t>
  </si>
  <si>
    <t>Grand Total</t>
  </si>
  <si>
    <t>Into the Breach v 00Prospects</t>
  </si>
  <si>
    <t>Into the Breach +8,5</t>
  </si>
  <si>
    <t>Into the Breach v 00Prospects map 3</t>
  </si>
  <si>
    <t>Young Ninjas</t>
  </si>
  <si>
    <t>Young Ninjas v Spirit Acad</t>
  </si>
  <si>
    <t>Current Bankroll</t>
  </si>
  <si>
    <t>Unit Size</t>
  </si>
  <si>
    <t>Unit Counter</t>
  </si>
  <si>
    <t>Self</t>
  </si>
  <si>
    <t>Live</t>
  </si>
  <si>
    <t>Count of Win</t>
  </si>
  <si>
    <t>Pending Bets</t>
  </si>
  <si>
    <t>Ago v Pact</t>
  </si>
  <si>
    <t>Total</t>
  </si>
  <si>
    <t>00Prospects +1,5</t>
  </si>
  <si>
    <t>Eyeballers v 00Prospects</t>
  </si>
  <si>
    <t>Aurora v Fnatic Rising</t>
  </si>
  <si>
    <t>Pain</t>
  </si>
  <si>
    <t>Pain v Masonic</t>
  </si>
  <si>
    <t>Profit per Day for Last Week</t>
  </si>
  <si>
    <t>Win : Loss</t>
  </si>
  <si>
    <t>Sum of Stake</t>
  </si>
  <si>
    <t>Pain v Masonic map 1</t>
  </si>
  <si>
    <t>Titans v Bluejays</t>
  </si>
  <si>
    <t>Fluxo</t>
  </si>
  <si>
    <t>Team One v Fluxo</t>
  </si>
  <si>
    <t>Entropiq v Sprout map 1</t>
  </si>
  <si>
    <t>Ago v Ungetium</t>
  </si>
  <si>
    <t>G2 v Evil Geniuses</t>
  </si>
  <si>
    <t>2-15</t>
  </si>
  <si>
    <t>Tricked v Astralis Talent</t>
  </si>
  <si>
    <t>Tricked -1,5</t>
  </si>
  <si>
    <t>Score</t>
  </si>
  <si>
    <t>Profit Of Day</t>
  </si>
  <si>
    <t>Total Profit</t>
  </si>
  <si>
    <t>Movistar Riders v Eternal Fire map 1</t>
  </si>
  <si>
    <t>9ine</t>
  </si>
  <si>
    <t>9ine v Titans map 1</t>
  </si>
  <si>
    <t>Esuba</t>
  </si>
  <si>
    <t>Esuba v Entropiq map 2</t>
  </si>
  <si>
    <t>9ine v Titans map 2</t>
  </si>
  <si>
    <t>Ex-Skade</t>
  </si>
  <si>
    <t>Movistar Riders v Eternal Fire map 2</t>
  </si>
  <si>
    <t>Aurora v Fnatic Rising map 1</t>
  </si>
  <si>
    <t>9ine v Titans</t>
  </si>
  <si>
    <t>Copenhagen Flames v Ex-Skade map 1</t>
  </si>
  <si>
    <t>Copenhagen Flames v Ex-Skade map 2</t>
  </si>
  <si>
    <t>Aurora v Fnatic Rising map 2</t>
  </si>
  <si>
    <t>K23</t>
  </si>
  <si>
    <t>K23 v Sprout map 1</t>
  </si>
  <si>
    <t>Profit of Selection</t>
  </si>
  <si>
    <t>Stake of Selection</t>
  </si>
  <si>
    <t>ROI%</t>
  </si>
  <si>
    <t>Pre-Game</t>
  </si>
  <si>
    <t>Count of Profit</t>
  </si>
  <si>
    <t>GTZ</t>
  </si>
  <si>
    <t>GTZ v Case</t>
  </si>
  <si>
    <t>MIBR</t>
  </si>
  <si>
    <t>Copenhagen Flames</t>
  </si>
  <si>
    <t>MIBR v 9z map 2</t>
  </si>
  <si>
    <t>Sangal v Copenhagen Flames map 2</t>
  </si>
  <si>
    <t>Average of Odds</t>
  </si>
  <si>
    <t>19-21</t>
  </si>
  <si>
    <t>1-x</t>
  </si>
  <si>
    <t>MIBR v 9z</t>
  </si>
  <si>
    <t>Astralis Talent v Tricked</t>
  </si>
  <si>
    <t>Biggest Win</t>
  </si>
  <si>
    <t>Biggest Loss</t>
  </si>
  <si>
    <t>Mouz v Outsiders</t>
  </si>
  <si>
    <t>Fnatic Rising v 00Prospects</t>
  </si>
  <si>
    <t>Eyeballers v NiP</t>
  </si>
  <si>
    <t>Bankroll With Pending</t>
  </si>
  <si>
    <t>Sold</t>
  </si>
  <si>
    <t>BB</t>
  </si>
  <si>
    <t>Count of BB</t>
  </si>
  <si>
    <t>Yes/No</t>
  </si>
  <si>
    <t>NIP -1,5</t>
  </si>
  <si>
    <t>Mouz v Outsiders map 2</t>
  </si>
  <si>
    <t>Bluejays v IKLA</t>
  </si>
  <si>
    <t>Needdoctor v X</t>
  </si>
  <si>
    <t>Ence v Eternal Fire map 1</t>
  </si>
  <si>
    <t>Esuba +2,5</t>
  </si>
  <si>
    <t>Eclot v Esuba</t>
  </si>
  <si>
    <t>Fnatic Rising v 00Prospects map 1</t>
  </si>
  <si>
    <t>2-16</t>
  </si>
  <si>
    <t>Pain v Imperial map 1</t>
  </si>
  <si>
    <t>Eclot v Esuba map 3</t>
  </si>
  <si>
    <t>Ence v Eternal Fire map 2</t>
  </si>
  <si>
    <t>Ence v Eternal Fire</t>
  </si>
  <si>
    <t>Outsiders</t>
  </si>
  <si>
    <t>Outsiders v Ence</t>
  </si>
  <si>
    <t>9z</t>
  </si>
  <si>
    <t>Spirit v 9z</t>
  </si>
  <si>
    <t>Manchester City</t>
  </si>
  <si>
    <t>Liverpool v Manchester City</t>
  </si>
  <si>
    <t>1-0</t>
  </si>
  <si>
    <t>Mouz Nxt</t>
  </si>
  <si>
    <t>00Prospects</t>
  </si>
  <si>
    <t>Astralis Talent v 00Prospects</t>
  </si>
  <si>
    <t>Pain v Spirit</t>
  </si>
  <si>
    <t>Pain +5,5</t>
  </si>
  <si>
    <t>Pain v Spirit map 2</t>
  </si>
  <si>
    <t>Needdoctor v OneTap</t>
  </si>
  <si>
    <t>Vendetta +1,5</t>
  </si>
  <si>
    <t>Billionaires v Vendetta</t>
  </si>
  <si>
    <t>Ex-Skade +1,5</t>
  </si>
  <si>
    <t>Sangal v Ex-Skade</t>
  </si>
  <si>
    <t>Bluejays +1,5</t>
  </si>
  <si>
    <t>Bluejays v Into the Breach</t>
  </si>
  <si>
    <t>Sold for</t>
  </si>
  <si>
    <t>Sangal v Ex-Skade map 2</t>
  </si>
  <si>
    <t>Over 3,5</t>
  </si>
  <si>
    <t>Vasco</t>
  </si>
  <si>
    <t>Fiorentina Over 1</t>
  </si>
  <si>
    <t>Lecce v Fiorentina</t>
  </si>
  <si>
    <t>Ago v 9ine</t>
  </si>
  <si>
    <t>Victorum v Villainous Union</t>
  </si>
  <si>
    <t>Football</t>
  </si>
  <si>
    <t>Tyde +3,5</t>
  </si>
  <si>
    <t>Gaimin Gladiators v Tyde</t>
  </si>
  <si>
    <t>Winnipeg Jets -2,5</t>
  </si>
  <si>
    <t>Dallas Stars v Winnipeg Jets</t>
  </si>
  <si>
    <t>Over 1</t>
  </si>
  <si>
    <t>Sol de America v Club Libertad</t>
  </si>
  <si>
    <t>Red Bull Bragantino v Santos</t>
  </si>
  <si>
    <t>Goteborg v Malmo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</si>
</sst>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0.00\ &quot;€&quot;_-;\-* #,##0.00\ &quot;€&quot;_-;_-* &quot;-&quot;??\ &quot;€&quot;_-;_-@_-"/>
    <numFmt numFmtId="164" formatCode="#,##0.00\ &quot;€&quot;"/>
    <numFmt numFmtId="165" formatCode="#,##0\ &quot;€&quot;"/>
  </numFmts>
  <fonts count="8" x14ac:knownFonts="1">
    <font>
      <sz val="11"/>
      <color theme="1"/>
      <name val="Lucida Sans Unicode"/>
      <family val="2"/>
      <scheme val="minor"/>
    </font>
    <font>
      <sz val="9"/>
      <name val="Arial"/>
      <family val="2"/>
    </font>
    <font>
      <sz val="11"/>
      <color theme="0"/>
      <name val="Lucida Sans Unicode"/>
      <family val="2"/>
      <scheme val="minor"/>
    </font>
    <font>
      <b/>
      <sz val="12"/>
      <color indexed="9"/>
      <name val="Lucida Sans Unicode"/>
      <family val="2"/>
    </font>
    <font>
      <sz val="11"/>
      <color theme="1"/>
      <name val="Lucida Sans Unicode"/>
      <family val="2"/>
      <scheme val="minor"/>
    </font>
    <font>
      <b/>
      <sz val="9"/>
      <color theme="9"/>
      <name val="Lucida Sans Unicode"/>
      <family val="2"/>
      <scheme val="minor"/>
    </font>
    <font>
      <b/>
      <sz val="9"/>
      <color theme="4"/>
      <name val="Lucida Sans Unicode"/>
      <family val="2"/>
      <scheme val="minor"/>
    </font>
    <font>
      <sz val="11"/>
      <name val="Lucida Sans Unicode"/>
      <family val="2"/>
      <scheme val="minor"/>
    </font>
  </fonts>
  <fills count="5">
    <fill>
      <patternFill patternType="none"/>
    </fill>
    <fill>
      <patternFill patternType="gray125"/>
    </fill>
    <fill>
      <patternFill patternType="solid">
        <fgColor indexed="63"/>
        <bgColor indexed="64"/>
      </patternFill>
    </fill>
    <fill>
      <patternFill patternType="solid">
        <fgColor theme="1"/>
        <bgColor indexed="64"/>
      </patternFill>
    </fill>
    <fill>
      <patternFill patternType="solid">
        <fgColor theme="8"/>
        <bgColor indexed="64"/>
      </patternFill>
    </fill>
  </fills>
  <borders count="4">
    <border>
      <left/>
      <right/>
      <top/>
      <bottom/>
      <diagonal/>
    </border>
    <border>
      <left/>
      <right/>
      <top style="thin">
        <color indexed="55"/>
      </top>
      <bottom/>
      <diagonal/>
    </border>
    <border>
      <left/>
      <right/>
      <top style="thin">
        <color indexed="55"/>
      </top>
      <bottom style="thin">
        <color indexed="55"/>
      </bottom>
      <diagonal/>
    </border>
    <border>
      <left/>
      <right/>
      <top/>
      <bottom style="thin">
        <color indexed="55"/>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63">
    <xf numFmtId="0" fontId="0" fillId="0" borderId="0" xfId="0"/>
    <xf numFmtId="0" fontId="1" fillId="0" borderId="0" xfId="0" applyFont="1"/>
    <xf numFmtId="0" fontId="1" fillId="0" borderId="0" xfId="0" applyFont="1" applyAlignment="1">
      <alignment vertic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9" fontId="0" fillId="0" borderId="0" xfId="0" applyNumberFormat="1" applyBorder="1" applyAlignment="1">
      <alignment horizontal="center"/>
    </xf>
    <xf numFmtId="164" fontId="0" fillId="0" borderId="0" xfId="0" applyNumberFormat="1" applyBorder="1" applyAlignment="1">
      <alignment horizontal="center"/>
    </xf>
    <xf numFmtId="2" fontId="0" fillId="0" borderId="0" xfId="0" applyNumberFormat="1" applyBorder="1" applyAlignment="1">
      <alignment horizontal="center"/>
    </xf>
    <xf numFmtId="0" fontId="1" fillId="0" borderId="2" xfId="0" quotePrefix="1" applyFont="1" applyBorder="1" applyAlignment="1" applyProtection="1">
      <alignment vertical="center"/>
      <protection locked="0"/>
    </xf>
    <xf numFmtId="0" fontId="1" fillId="0" borderId="1" xfId="0" quotePrefix="1" applyFont="1" applyBorder="1" applyAlignment="1" applyProtection="1">
      <alignment vertical="center"/>
      <protection locked="0"/>
    </xf>
    <xf numFmtId="0" fontId="1" fillId="0" borderId="1" xfId="0" applyFont="1" applyBorder="1" applyAlignment="1" applyProtection="1">
      <alignment vertical="center"/>
      <protection locked="0"/>
    </xf>
    <xf numFmtId="0" fontId="3" fillId="2" borderId="3" xfId="0" applyFont="1" applyFill="1" applyBorder="1" applyAlignment="1">
      <alignment horizontal="center"/>
    </xf>
    <xf numFmtId="15"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1" fillId="0" borderId="0" xfId="0" applyNumberFormat="1" applyFont="1" applyBorder="1" applyAlignment="1" applyProtection="1">
      <alignment horizontal="center"/>
      <protection locked="0"/>
    </xf>
    <xf numFmtId="44" fontId="0" fillId="0" borderId="0" xfId="0" applyNumberFormat="1"/>
    <xf numFmtId="0" fontId="0" fillId="0" borderId="0" xfId="0" applyBorder="1"/>
    <xf numFmtId="14" fontId="0" fillId="0" borderId="0" xfId="0" applyNumberFormat="1" applyAlignment="1">
      <alignment horizontal="left"/>
    </xf>
    <xf numFmtId="14" fontId="0" fillId="0" borderId="0" xfId="0" applyNumberFormat="1"/>
    <xf numFmtId="44" fontId="0" fillId="0" borderId="0" xfId="1" applyFont="1"/>
    <xf numFmtId="164" fontId="0" fillId="0" borderId="0" xfId="1" applyNumberFormat="1" applyFont="1"/>
    <xf numFmtId="0" fontId="0" fillId="0" borderId="0" xfId="0" pivotButton="1" applyAlignment="1">
      <alignment horizontal="center"/>
    </xf>
    <xf numFmtId="0" fontId="2" fillId="3" borderId="0" xfId="0" applyFont="1" applyFill="1" applyAlignment="1">
      <alignment horizontal="center"/>
    </xf>
    <xf numFmtId="44" fontId="2" fillId="3" borderId="0" xfId="1" applyNumberFormat="1" applyFont="1" applyFill="1" applyAlignment="1">
      <alignment horizontal="center"/>
    </xf>
    <xf numFmtId="165" fontId="0" fillId="0" borderId="0" xfId="0" applyNumberFormat="1"/>
    <xf numFmtId="0" fontId="0" fillId="0" borderId="0" xfId="0" applyAlignment="1">
      <alignment horizontal="right"/>
    </xf>
    <xf numFmtId="0" fontId="0" fillId="0" borderId="0" xfId="0" applyAlignment="1">
      <alignment horizontal="centerContinuous"/>
    </xf>
    <xf numFmtId="0" fontId="5" fillId="0" borderId="0" xfId="0" applyFont="1" applyBorder="1" applyAlignment="1">
      <alignment horizontal="center"/>
    </xf>
    <xf numFmtId="0"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14" fontId="6" fillId="0" borderId="0" xfId="0" applyNumberFormat="1" applyFont="1" applyBorder="1" applyAlignment="1">
      <alignment horizontal="center"/>
    </xf>
    <xf numFmtId="0" fontId="6" fillId="0" borderId="0" xfId="0" applyFont="1" applyBorder="1" applyAlignment="1">
      <alignment horizontal="center"/>
    </xf>
    <xf numFmtId="164" fontId="6" fillId="0" borderId="0" xfId="0" applyNumberFormat="1" applyFont="1" applyBorder="1" applyAlignment="1">
      <alignment horizontal="center"/>
    </xf>
    <xf numFmtId="0" fontId="5" fillId="0" borderId="0" xfId="0" applyFont="1" applyFill="1" applyBorder="1" applyAlignment="1">
      <alignment horizontal="center"/>
    </xf>
    <xf numFmtId="2" fontId="0" fillId="0" borderId="0" xfId="0" applyNumberFormat="1"/>
    <xf numFmtId="0" fontId="0" fillId="0" borderId="0" xfId="0" applyBorder="1" applyAlignment="1">
      <alignment horizontal="left"/>
    </xf>
    <xf numFmtId="2" fontId="6" fillId="0" borderId="0" xfId="0" applyNumberFormat="1" applyFont="1" applyBorder="1" applyAlignment="1">
      <alignment horizontal="center"/>
    </xf>
    <xf numFmtId="0" fontId="5" fillId="0" borderId="0" xfId="0" applyFont="1" applyBorder="1" applyAlignment="1">
      <alignment horizontal="centerContinuous"/>
    </xf>
    <xf numFmtId="2" fontId="6" fillId="0" borderId="0" xfId="0" applyNumberFormat="1" applyFont="1" applyBorder="1" applyAlignment="1">
      <alignment horizontal="centerContinuous"/>
    </xf>
    <xf numFmtId="10" fontId="0" fillId="0" borderId="0" xfId="2" applyNumberFormat="1" applyFont="1" applyAlignment="1">
      <alignment horizontal="left"/>
    </xf>
    <xf numFmtId="0" fontId="0" fillId="0" borderId="0" xfId="0" pivotButton="1" applyFont="1" applyBorder="1" applyAlignment="1"/>
    <xf numFmtId="0" fontId="0" fillId="0" borderId="0" xfId="0" applyFont="1" applyBorder="1" applyAlignment="1"/>
    <xf numFmtId="0" fontId="0" fillId="0" borderId="0" xfId="0" applyNumberFormat="1" applyFont="1" applyBorder="1" applyAlignment="1">
      <alignment horizontal="left"/>
    </xf>
    <xf numFmtId="0" fontId="0" fillId="0" borderId="0" xfId="0" applyFont="1" applyBorder="1" applyAlignment="1">
      <alignment horizontal="left"/>
    </xf>
    <xf numFmtId="164" fontId="0" fillId="0" borderId="0" xfId="0" applyNumberFormat="1" applyFont="1" applyBorder="1" applyAlignment="1"/>
    <xf numFmtId="0" fontId="7" fillId="0" borderId="0" xfId="0" applyFont="1" applyFill="1"/>
    <xf numFmtId="44" fontId="7" fillId="0" borderId="0" xfId="1" applyFont="1" applyFill="1"/>
    <xf numFmtId="0" fontId="7" fillId="0" borderId="0" xfId="0" applyFont="1" applyFill="1" applyAlignment="1">
      <alignment horizontal="center"/>
    </xf>
    <xf numFmtId="44" fontId="7" fillId="0" borderId="0" xfId="1" applyNumberFormat="1" applyFont="1" applyFill="1" applyAlignment="1">
      <alignment horizontal="center"/>
    </xf>
    <xf numFmtId="44" fontId="7" fillId="0" borderId="0" xfId="0" applyNumberFormat="1" applyFont="1" applyFill="1"/>
    <xf numFmtId="0" fontId="0" fillId="4" borderId="0" xfId="0" applyFill="1" applyAlignment="1">
      <alignment horizontal="center"/>
    </xf>
    <xf numFmtId="49" fontId="0" fillId="4" borderId="0" xfId="0" applyNumberFormat="1" applyFill="1" applyAlignment="1">
      <alignment horizontal="center"/>
    </xf>
    <xf numFmtId="164" fontId="0" fillId="4" borderId="0" xfId="0" applyNumberFormat="1" applyFill="1" applyAlignment="1">
      <alignment horizontal="center"/>
    </xf>
    <xf numFmtId="2" fontId="0" fillId="4" borderId="0" xfId="0" applyNumberFormat="1" applyFill="1" applyAlignment="1">
      <alignment horizontal="center"/>
    </xf>
    <xf numFmtId="0" fontId="0" fillId="4" borderId="0" xfId="0" applyFill="1"/>
    <xf numFmtId="49" fontId="0" fillId="4" borderId="0" xfId="0" applyNumberFormat="1" applyFont="1" applyFill="1" applyAlignment="1">
      <alignment horizontal="center"/>
    </xf>
    <xf numFmtId="164" fontId="0" fillId="0" borderId="0" xfId="0" applyNumberFormat="1" applyFont="1" applyBorder="1" applyAlignment="1">
      <alignment horizontal="center"/>
    </xf>
    <xf numFmtId="164" fontId="0" fillId="0" borderId="0" xfId="0" applyNumberFormat="1" applyFill="1"/>
  </cellXfs>
  <cellStyles count="3">
    <cellStyle name="Currency" xfId="1" builtinId="4"/>
    <cellStyle name="Normal" xfId="0" builtinId="0"/>
    <cellStyle name="Percent" xfId="2" builtinId="5"/>
  </cellStyles>
  <dxfs count="111">
    <dxf>
      <fill>
        <patternFill patternType="darkTrellis">
          <fgColor theme="1" tint="0.34998626667073579"/>
          <bgColor theme="0"/>
        </patternFill>
      </fill>
    </dxf>
    <dxf>
      <font>
        <color auto="1"/>
      </font>
      <fill>
        <patternFill>
          <bgColor theme="7"/>
        </patternFill>
      </fill>
    </dxf>
    <dxf>
      <fill>
        <patternFill>
          <bgColor theme="9"/>
        </patternFill>
      </fill>
    </dxf>
    <dxf>
      <font>
        <color theme="0" tint="-0.499984740745262"/>
      </font>
    </dxf>
    <dxf>
      <fill>
        <patternFill>
          <bgColor theme="6"/>
        </patternFill>
      </fill>
    </dxf>
    <dxf>
      <fill>
        <patternFill>
          <bgColor theme="5"/>
        </patternFill>
      </fill>
    </dxf>
    <dxf>
      <fill>
        <patternFill>
          <bgColor theme="4"/>
        </patternFill>
      </fill>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numFmt numFmtId="164" formatCode="#,##0.00\ &quot;€&quot;"/>
    </dxf>
    <dxf>
      <alignment horizontal="center"/>
    </dxf>
    <dxf>
      <alignment horizontal="center"/>
    </dxf>
    <dxf>
      <numFmt numFmtId="164" formatCode="#,##0.00\ &quot;€&quot;"/>
    </dxf>
    <dxf>
      <numFmt numFmtId="164" formatCode="#,##0.00\ &quot;€&quot;"/>
    </dxf>
    <dxf>
      <numFmt numFmtId="165" formatCode="#,##0\ &quot;€&quot;"/>
    </dxf>
    <dxf>
      <numFmt numFmtId="2" formatCode="0.00"/>
    </dxf>
    <dxf>
      <numFmt numFmtId="0" formatCode="General"/>
    </dxf>
    <dxf>
      <numFmt numFmtId="164" formatCode="#,##0.00\ &quot;€&quot;"/>
    </dxf>
    <dxf>
      <numFmt numFmtId="164" formatCode="#,##0.00\ &quot;€&quot;"/>
    </dxf>
    <dxf>
      <numFmt numFmtId="164" formatCode="#,##0.00\ &quot;€&quot;"/>
    </dxf>
    <dxf>
      <numFmt numFmtId="164" formatCode="#,##0.00\ &quot;€&quot;"/>
    </dxf>
    <dxf>
      <numFmt numFmtId="164" formatCode="#,##0.00\ &quot;€&quot;"/>
    </dxf>
    <dxf>
      <numFmt numFmtId="164" formatCode="#,##0.00\ &quot;€&quot;"/>
    </dxf>
    <dxf>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alignment horizontal="left"/>
    </dxf>
    <dxf>
      <alignment horizontal="left"/>
    </dxf>
    <dxf>
      <alignment horizontal="left"/>
    </dxf>
    <dxf>
      <font>
        <b/>
        <sz val="9"/>
        <color theme="9"/>
      </font>
      <alignment horizontal="center"/>
    </dxf>
    <dxf>
      <font>
        <b/>
        <sz val="9"/>
        <color theme="9"/>
      </font>
      <alignment horizontal="center"/>
    </dxf>
    <dxf>
      <font>
        <b/>
        <sz val="9"/>
        <color theme="4"/>
      </font>
      <numFmt numFmtId="19" formatCode="dd/mm/yyyy"/>
      <alignment horizontal="center"/>
    </dxf>
    <dxf>
      <font>
        <b/>
        <sz val="9"/>
        <color theme="4"/>
      </font>
      <numFmt numFmtId="19" formatCode="dd/mm/yyyy"/>
      <alignment horizontal="center"/>
    </dxf>
    <dxf>
      <border>
        <left/>
        <right/>
        <bottom/>
      </border>
    </dxf>
    <dxf>
      <border>
        <left/>
        <right/>
        <bottom/>
      </border>
    </dxf>
    <dxf>
      <border>
        <left/>
        <right/>
        <bottom/>
      </border>
    </dxf>
    <dxf>
      <border>
        <left/>
        <right/>
        <bottom/>
      </border>
    </dxf>
    <dxf>
      <border>
        <left/>
        <right/>
        <bottom/>
      </border>
    </dxf>
    <dxf>
      <border>
        <left/>
        <right/>
        <bottom/>
      </border>
    </dxf>
    <dxf>
      <numFmt numFmtId="164" formatCode="#,##0.00\ &quot;€&quot;"/>
    </dxf>
    <dxf>
      <numFmt numFmtId="164" formatCode="#,##0.00\ &quot;€&quot;"/>
    </dxf>
    <dxf>
      <numFmt numFmtId="20" formatCode="dd/mmm/yy"/>
    </dxf>
    <dxf>
      <alignment horizontal="center" vertical="bottom" textRotation="0" wrapText="0" indent="0" justifyLastLine="0" shrinkToFit="0" readingOrder="0"/>
    </dxf>
    <dxf>
      <numFmt numFmtId="164" formatCode="#,##0.00\ &quot;€&quot;"/>
    </dxf>
    <dxf>
      <numFmt numFmtId="19" formatCode="dd/mm/yyyy"/>
    </dxf>
    <dxf>
      <numFmt numFmtId="164" formatCode="#,##0.00\ &quot;€&quot;"/>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Arial"/>
        <family val="2"/>
        <scheme val="none"/>
      </font>
      <numFmt numFmtId="19" formatCode="dd/mm/yyyy"/>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fill>
        <patternFill patternType="solid">
          <fgColor indexed="64"/>
          <bgColor theme="8"/>
        </patternFill>
      </fill>
      <alignment horizontal="center" vertical="bottom" textRotation="0" wrapText="0" indent="0" justifyLastLine="0" shrinkToFit="0" readingOrder="0"/>
    </dxf>
    <dxf>
      <border diagonalUp="0" diagonalDown="0">
        <left/>
        <right/>
        <top/>
        <bottom/>
        <vertical/>
        <horizontal/>
      </border>
    </dxf>
    <dxf>
      <fill>
        <patternFill>
          <bgColor theme="8"/>
        </patternFill>
      </fill>
    </dxf>
    <dxf>
      <font>
        <b/>
        <i val="0"/>
        <color auto="1"/>
        <name val="Lucida Sans Unicode"/>
        <family val="2"/>
        <scheme val="major"/>
      </font>
      <fill>
        <patternFill>
          <bgColor theme="8"/>
        </patternFill>
      </fill>
      <border diagonalUp="0" diagonalDown="0">
        <left/>
        <right/>
        <top/>
        <bottom/>
        <vertical/>
        <horizontal/>
      </border>
    </dxf>
    <dxf>
      <font>
        <b/>
        <i val="0"/>
        <color theme="8"/>
      </font>
      <border>
        <bottom style="thin">
          <color theme="9"/>
        </bottom>
        <vertical/>
        <horizontal/>
      </border>
    </dxf>
    <dxf>
      <font>
        <color auto="1"/>
      </font>
      <fill>
        <patternFill>
          <bgColor theme="1"/>
        </patternFill>
      </fill>
      <border diagonalUp="0" diagonalDown="0">
        <left style="thin">
          <color theme="9"/>
        </left>
        <right style="thin">
          <color theme="9"/>
        </right>
        <top style="thin">
          <color theme="9"/>
        </top>
        <bottom style="thin">
          <color theme="9"/>
        </bottom>
        <vertical/>
        <horizontal/>
      </border>
    </dxf>
    <dxf>
      <fill>
        <patternFill>
          <bgColor theme="9"/>
        </patternFill>
      </fill>
    </dxf>
    <dxf>
      <fill>
        <patternFill patternType="none">
          <bgColor auto="1"/>
        </patternFill>
      </fill>
    </dxf>
  </dxfs>
  <tableStyles count="8" defaultTableStyle="TableStyleMedium2" defaultPivotStyle="PivotStyleLight16">
    <tableStyle name="Slicer Style 1" pivot="0" table="0" count="1" xr9:uid="{BA1DDD1F-277E-44C3-B566-264C9ACCA1CE}">
      <tableStyleElement type="wholeTable" dxfId="110"/>
    </tableStyle>
    <tableStyle name="Slicer Style 2" pivot="0" table="0" count="1" xr9:uid="{0D556474-20A4-4C5E-9E19-69DA26B5356A}">
      <tableStyleElement type="wholeTable" dxfId="109"/>
    </tableStyle>
    <tableStyle name="Slicer Style 3" pivot="0" table="0" count="1" xr9:uid="{0F573893-9649-4396-A33F-4C696AAEE6B1}"/>
    <tableStyle name="SlicerStyleDark6 2" pivot="0" table="0" count="10" xr9:uid="{5D95627F-33CF-42CC-B39D-44C0955A2514}">
      <tableStyleElement type="wholeTable" dxfId="108"/>
      <tableStyleElement type="headerRow" dxfId="107"/>
    </tableStyle>
    <tableStyle name="SlicerStyleLight1 2" pivot="0" table="0" count="3" xr9:uid="{D8D8D9FA-05D4-4CEA-BB84-B2A72A25E04B}">
      <tableStyleElement type="wholeTable" dxfId="106"/>
    </tableStyle>
    <tableStyle name="Table Style 1" pivot="0" count="0" xr9:uid="{00AA1A79-A582-49B9-B37E-59E12E38702F}"/>
    <tableStyle name="Table Style 2" pivot="0" count="1" xr9:uid="{CE07851A-FC71-493C-AA8F-AD6D8048544F}">
      <tableStyleElement type="firstRowStripe" dxfId="105"/>
    </tableStyle>
    <tableStyle name="Table Style 3" pivot="0" count="1" xr9:uid="{EC57C3A3-7F54-46B2-A9B1-BDE8B8015283}">
      <tableStyleElement type="wholeTable" dxfId="104"/>
    </tableStyle>
  </tableStyles>
  <colors>
    <mruColors>
      <color rgb="FF000000"/>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59999389629810485"/>
              <bgColor theme="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sz val="9"/>
            <color auto="1"/>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StyleDark6 2">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StyleLight1 2">
          <x14:slicerStyleElements>
            <x14:slicerStyleElement type="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Dashboard.xlsm]Analysis!PTProfitByTipster</c:name>
    <c:fmtId val="8"/>
  </c:pivotSource>
  <c:chart>
    <c:title>
      <c:tx>
        <c:rich>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6.2388888888888917E-2"/>
          <c:y val="2.777777777777777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5.5555555555555552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Lst>
        </c:dLbl>
      </c:pivotFmt>
      <c:pivotFmt>
        <c:idx val="4"/>
        <c:spPr>
          <a:solidFill>
            <a:schemeClr val="accent1"/>
          </a:solidFill>
          <a:ln>
            <a:noFill/>
          </a:ln>
          <a:effectLst/>
        </c:spPr>
        <c:dLbl>
          <c:idx val="0"/>
          <c:layout>
            <c:manualLayout>
              <c:x val="1.9713694078164009E-7"/>
              <c:y val="4.6297389909594637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pivotFmt>
    </c:pivotFmts>
    <c:plotArea>
      <c:layout/>
      <c:barChart>
        <c:barDir val="col"/>
        <c:grouping val="clustered"/>
        <c:varyColors val="0"/>
        <c:ser>
          <c:idx val="0"/>
          <c:order val="0"/>
          <c:tx>
            <c:strRef>
              <c:f>Analysis!$R$16</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7D17-4134-84F3-4C1011AC815B}"/>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7D17-4134-84F3-4C1011AC815B}"/>
              </c:ext>
            </c:extLst>
          </c:dPt>
          <c:dPt>
            <c:idx val="2"/>
            <c:invertIfNegative val="0"/>
            <c:bubble3D val="0"/>
            <c:spPr>
              <a:solidFill>
                <a:schemeClr val="accent1"/>
              </a:solidFill>
              <a:ln>
                <a:noFill/>
              </a:ln>
              <a:effectLst/>
            </c:spPr>
          </c:dPt>
          <c:dLbls>
            <c:dLbl>
              <c:idx val="1"/>
              <c:layout>
                <c:manualLayout>
                  <c:x val="0"/>
                  <c:y val="5.5555555555555552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 xmlns:c16="http://schemas.microsoft.com/office/drawing/2014/chart" uri="{C3380CC4-5D6E-409C-BE32-E72D297353CC}">
                  <c16:uniqueId val="{00000002-7D17-4134-84F3-4C1011AC815B}"/>
                </c:ext>
              </c:extLst>
            </c:dLbl>
            <c:dLbl>
              <c:idx val="2"/>
              <c:layout>
                <c:manualLayout>
                  <c:x val="1.9713694078164009E-7"/>
                  <c:y val="4.629738990959463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Analysis!$Q$17:$Q$20</c:f>
              <c:strCache>
                <c:ptCount val="3"/>
                <c:pt idx="0">
                  <c:v>Vasco</c:v>
                </c:pt>
                <c:pt idx="1">
                  <c:v>Shyux</c:v>
                </c:pt>
                <c:pt idx="2">
                  <c:v>Doodoo</c:v>
                </c:pt>
              </c:strCache>
            </c:strRef>
          </c:cat>
          <c:val>
            <c:numRef>
              <c:f>Analysis!$R$17:$R$20</c:f>
              <c:numCache>
                <c:formatCode>#\ ##0.00\ "€"</c:formatCode>
                <c:ptCount val="3"/>
                <c:pt idx="0">
                  <c:v>-0.51</c:v>
                </c:pt>
                <c:pt idx="1">
                  <c:v>-4.4935799999999873</c:v>
                </c:pt>
                <c:pt idx="2">
                  <c:v>-16</c:v>
                </c:pt>
              </c:numCache>
            </c:numRef>
          </c:val>
          <c:extLst>
            <c:ext xmlns:c16="http://schemas.microsoft.com/office/drawing/2014/chart" uri="{C3380CC4-5D6E-409C-BE32-E72D297353CC}">
              <c16:uniqueId val="{00000000-7D17-4134-84F3-4C1011AC815B}"/>
            </c:ext>
          </c:extLst>
        </c:ser>
        <c:dLbls>
          <c:showLegendKey val="0"/>
          <c:showVal val="1"/>
          <c:showCatName val="0"/>
          <c:showSerName val="0"/>
          <c:showPercent val="0"/>
          <c:showBubbleSize val="0"/>
        </c:dLbls>
        <c:gapWidth val="150"/>
        <c:axId val="593317104"/>
        <c:axId val="593321040"/>
      </c:barChart>
      <c:catAx>
        <c:axId val="593317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21040"/>
        <c:crosses val="autoZero"/>
        <c:auto val="1"/>
        <c:lblAlgn val="ctr"/>
        <c:lblOffset val="100"/>
        <c:noMultiLvlLbl val="0"/>
      </c:catAx>
      <c:valAx>
        <c:axId val="593321040"/>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171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Dashboard.xlsm]Analysis!PTBetType</c:name>
    <c:fmtId val="2"/>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2.3844721421489579E-2"/>
          <c:y val="4.574646158323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27883447443590081"/>
          <c:y val="0.19219925634295712"/>
          <c:w val="0.64039643522865897"/>
          <c:h val="0.68321741032370953"/>
        </c:manualLayout>
      </c:layout>
      <c:barChart>
        <c:barDir val="bar"/>
        <c:grouping val="clustered"/>
        <c:varyColors val="0"/>
        <c:ser>
          <c:idx val="0"/>
          <c:order val="0"/>
          <c:tx>
            <c:strRef>
              <c:f>Analysis!$W$3</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Analysis!$V$4:$V$10</c:f>
              <c:strCache>
                <c:ptCount val="6"/>
                <c:pt idx="0">
                  <c:v>Winner</c:v>
                </c:pt>
                <c:pt idx="1">
                  <c:v>Over / Under Score</c:v>
                </c:pt>
                <c:pt idx="2">
                  <c:v>Over / Under Maps</c:v>
                </c:pt>
                <c:pt idx="3">
                  <c:v>Handicap Rounds</c:v>
                </c:pt>
                <c:pt idx="4">
                  <c:v>Handicap Maps</c:v>
                </c:pt>
                <c:pt idx="5">
                  <c:v>Accumulator</c:v>
                </c:pt>
              </c:strCache>
            </c:strRef>
          </c:cat>
          <c:val>
            <c:numRef>
              <c:f>Analysis!$W$4:$W$10</c:f>
              <c:numCache>
                <c:formatCode>#\ ##0.00\ "€"</c:formatCode>
                <c:ptCount val="6"/>
                <c:pt idx="0">
                  <c:v>27.126339999999999</c:v>
                </c:pt>
                <c:pt idx="1">
                  <c:v>-8.51</c:v>
                </c:pt>
                <c:pt idx="2">
                  <c:v>0</c:v>
                </c:pt>
                <c:pt idx="3">
                  <c:v>-24.34</c:v>
                </c:pt>
                <c:pt idx="4">
                  <c:v>-9.2799200000000006</c:v>
                </c:pt>
                <c:pt idx="5">
                  <c:v>-6</c:v>
                </c:pt>
              </c:numCache>
            </c:numRef>
          </c:val>
          <c:extLst>
            <c:ext xmlns:c16="http://schemas.microsoft.com/office/drawing/2014/chart" uri="{C3380CC4-5D6E-409C-BE32-E72D297353CC}">
              <c16:uniqueId val="{00000000-CC44-415D-ADB4-620C01886F1A}"/>
            </c:ext>
          </c:extLst>
        </c:ser>
        <c:dLbls>
          <c:dLblPos val="outEnd"/>
          <c:showLegendKey val="0"/>
          <c:showVal val="1"/>
          <c:showCatName val="0"/>
          <c:showSerName val="0"/>
          <c:showPercent val="0"/>
          <c:showBubbleSize val="0"/>
        </c:dLbls>
        <c:gapWidth val="50"/>
        <c:axId val="452339536"/>
        <c:axId val="452335272"/>
      </c:barChart>
      <c:catAx>
        <c:axId val="4523395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5272"/>
        <c:crosses val="autoZero"/>
        <c:auto val="1"/>
        <c:lblAlgn val="ctr"/>
        <c:lblOffset val="100"/>
        <c:tickMarkSkip val="1"/>
        <c:noMultiLvlLbl val="0"/>
      </c:catAx>
      <c:valAx>
        <c:axId val="452335272"/>
        <c:scaling>
          <c:orientation val="minMax"/>
        </c:scaling>
        <c:delete val="0"/>
        <c:axPos val="b"/>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953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Dashboard.xlsm]Analysis!PTProfitBySport</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p>
        </c:rich>
      </c:tx>
      <c:layout>
        <c:manualLayout>
          <c:xMode val="edge"/>
          <c:yMode val="edge"/>
          <c:x val="3.253304528269707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Analysis!$K$4:$K$11</c:f>
              <c:strCache>
                <c:ptCount val="7"/>
                <c:pt idx="0">
                  <c:v>CS:GO</c:v>
                </c:pt>
                <c:pt idx="1">
                  <c:v>League of Legends</c:v>
                </c:pt>
                <c:pt idx="2">
                  <c:v>NFL</c:v>
                </c:pt>
                <c:pt idx="3">
                  <c:v>NHL</c:v>
                </c:pt>
                <c:pt idx="4">
                  <c:v>Rainbow Six</c:v>
                </c:pt>
                <c:pt idx="5">
                  <c:v>Valorant</c:v>
                </c:pt>
                <c:pt idx="6">
                  <c:v>Football</c:v>
                </c:pt>
              </c:strCache>
            </c:strRef>
          </c:cat>
          <c:val>
            <c:numRef>
              <c:f>Analysis!$L$4:$L$11</c:f>
              <c:numCache>
                <c:formatCode>#\ ##0.00\ "€"</c:formatCode>
                <c:ptCount val="7"/>
                <c:pt idx="0">
                  <c:v>-0.36157999999999557</c:v>
                </c:pt>
                <c:pt idx="1">
                  <c:v>-2.4520000000000017</c:v>
                </c:pt>
                <c:pt idx="2">
                  <c:v>-4</c:v>
                </c:pt>
                <c:pt idx="3">
                  <c:v>-4</c:v>
                </c:pt>
                <c:pt idx="4">
                  <c:v>-8</c:v>
                </c:pt>
                <c:pt idx="5">
                  <c:v>2.3200000000000003</c:v>
                </c:pt>
                <c:pt idx="6">
                  <c:v>-4.51</c:v>
                </c:pt>
              </c:numCache>
            </c:numRef>
          </c:val>
          <c:extLst>
            <c:ext xmlns:c16="http://schemas.microsoft.com/office/drawing/2014/chart" uri="{C3380CC4-5D6E-409C-BE32-E72D297353CC}">
              <c16:uniqueId val="{00000000-E5FD-47D5-9FD5-AD98B089CF86}"/>
            </c:ext>
          </c:extLst>
        </c:ser>
        <c:dLbls>
          <c:dLblPos val="outEnd"/>
          <c:showLegendKey val="0"/>
          <c:showVal val="1"/>
          <c:showCatName val="0"/>
          <c:showSerName val="0"/>
          <c:showPercent val="0"/>
          <c:showBubbleSize val="0"/>
        </c:dLbls>
        <c:gapWidth val="50"/>
        <c:overlap val="-30"/>
        <c:axId val="1064697472"/>
        <c:axId val="1064696816"/>
      </c:barChart>
      <c:catAx>
        <c:axId val="1064697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6816"/>
        <c:crosses val="autoZero"/>
        <c:auto val="1"/>
        <c:lblAlgn val="ctr"/>
        <c:lblOffset val="100"/>
        <c:noMultiLvlLbl val="0"/>
      </c:catAx>
      <c:valAx>
        <c:axId val="1064696816"/>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7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Dashboard.xlsm]Analysis!PTLive</c:name>
    <c:fmtId val="7"/>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4.35092972533363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fld id="{48BBB8E2-3AC1-4712-95DF-9DF1B80EB51E}" type="VALUE">
                  <a:rPr lang="en-US"/>
                  <a:pPr>
                    <a:defRPr>
                      <a:solidFill>
                        <a:schemeClr val="accent6"/>
                      </a:solidFill>
                      <a:effectLst>
                        <a:glow rad="63500">
                          <a:schemeClr val="tx1">
                            <a:alpha val="67000"/>
                          </a:schemeClr>
                        </a:glow>
                      </a:effectLst>
                    </a:defRPr>
                  </a:pPr>
                  <a:t>[VALUE]</a:t>
                </a:fld>
                <a:endParaRPr lang="pt-PT"/>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Lst>
        </c:dLbl>
      </c:pivotFmt>
      <c:pivotFmt>
        <c:idx val="6"/>
        <c:spPr>
          <a:solidFill>
            <a:schemeClr val="accent1"/>
          </a:solidFill>
          <a:ln w="19050">
            <a:noFill/>
          </a:ln>
          <a:effectLst/>
        </c:spP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Lst>
        </c:dLbl>
      </c:pivotFmt>
    </c:pivotFmts>
    <c:plotArea>
      <c:layout/>
      <c:barChart>
        <c:barDir val="col"/>
        <c:grouping val="clustered"/>
        <c:varyColors val="0"/>
        <c:ser>
          <c:idx val="0"/>
          <c:order val="0"/>
          <c:tx>
            <c:strRef>
              <c:f>Analysis!$H$22</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noFill/>
              </a:ln>
              <a:effectLst/>
            </c:spPr>
            <c:extLst>
              <c:ext xmlns:c16="http://schemas.microsoft.com/office/drawing/2014/chart" uri="{C3380CC4-5D6E-409C-BE32-E72D297353CC}">
                <c16:uniqueId val="{00000001-43D3-4071-B050-53E9F9A8696E}"/>
              </c:ext>
            </c:extLst>
          </c:dPt>
          <c:dPt>
            <c:idx val="1"/>
            <c:invertIfNegative val="0"/>
            <c:bubble3D val="0"/>
            <c:spPr>
              <a:solidFill>
                <a:schemeClr val="accent1"/>
              </a:solidFill>
              <a:ln w="19050">
                <a:noFill/>
              </a:ln>
              <a:effectLst/>
            </c:spPr>
            <c:extLst>
              <c:ext xmlns:c16="http://schemas.microsoft.com/office/drawing/2014/chart" uri="{C3380CC4-5D6E-409C-BE32-E72D297353CC}">
                <c16:uniqueId val="{00000003-43D3-4071-B050-53E9F9A8696E}"/>
              </c:ext>
            </c:extLst>
          </c:dPt>
          <c:dLbls>
            <c:dLbl>
              <c:idx val="0"/>
              <c:tx>
                <c:rich>
                  <a:bodyPr/>
                  <a:lstStyle/>
                  <a:p>
                    <a:fld id="{48BBB8E2-3AC1-4712-95DF-9DF1B80EB51E}" type="VALUE">
                      <a:rPr lang="en-US"/>
                      <a:pPr/>
                      <a:t>[VALUE]</a:t>
                    </a:fld>
                    <a:endParaRPr lang="pt-PT"/>
                  </a:p>
                </c:rich>
              </c:tx>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 xmlns:c16="http://schemas.microsoft.com/office/drawing/2014/chart" uri="{C3380CC4-5D6E-409C-BE32-E72D297353CC}">
                  <c16:uniqueId val="{00000001-43D3-4071-B050-53E9F9A8696E}"/>
                </c:ext>
              </c:extLst>
            </c:dLbl>
            <c:dLbl>
              <c:idx val="1"/>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 xmlns:c16="http://schemas.microsoft.com/office/drawing/2014/chart" uri="{C3380CC4-5D6E-409C-BE32-E72D297353CC}">
                  <c16:uniqueId val="{00000003-43D3-4071-B050-53E9F9A86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Analysis!$G$23:$G$25</c:f>
              <c:strCache>
                <c:ptCount val="2"/>
                <c:pt idx="0">
                  <c:v>Pre-Game</c:v>
                </c:pt>
                <c:pt idx="1">
                  <c:v>Live</c:v>
                </c:pt>
              </c:strCache>
            </c:strRef>
          </c:cat>
          <c:val>
            <c:numRef>
              <c:f>Analysis!$H$23:$H$25</c:f>
              <c:numCache>
                <c:formatCode>#\ ##0.00\ "€"</c:formatCode>
                <c:ptCount val="2"/>
                <c:pt idx="0">
                  <c:v>-35.02928</c:v>
                </c:pt>
                <c:pt idx="1">
                  <c:v>14.025700000000008</c:v>
                </c:pt>
              </c:numCache>
            </c:numRef>
          </c:val>
          <c:extLst>
            <c:ext xmlns:c16="http://schemas.microsoft.com/office/drawing/2014/chart" uri="{C3380CC4-5D6E-409C-BE32-E72D297353CC}">
              <c16:uniqueId val="{00000004-43D3-4071-B050-53E9F9A8696E}"/>
            </c:ext>
          </c:extLst>
        </c:ser>
        <c:dLbls>
          <c:showLegendKey val="0"/>
          <c:showVal val="0"/>
          <c:showCatName val="0"/>
          <c:showSerName val="0"/>
          <c:showPercent val="0"/>
          <c:showBubbleSize val="0"/>
        </c:dLbls>
        <c:gapWidth val="100"/>
        <c:axId val="685871936"/>
        <c:axId val="685875872"/>
      </c:barChart>
      <c:catAx>
        <c:axId val="68587193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5872"/>
        <c:crossesAt val="0"/>
        <c:auto val="1"/>
        <c:lblAlgn val="ctr"/>
        <c:lblOffset val="100"/>
        <c:noMultiLvlLbl val="0"/>
      </c:catAx>
      <c:valAx>
        <c:axId val="685875872"/>
        <c:scaling>
          <c:orientation val="minMax"/>
        </c:scaling>
        <c:delete val="0"/>
        <c:axPos val="l"/>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effectLst>
                <a:glow rad="63500">
                  <a:schemeClr val="tx1">
                    <a:alpha val="67000"/>
                  </a:schemeClr>
                </a:glow>
              </a:effectLst>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Dashboard.xlsm]Analysis!PTWinRate</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4.9030732860520086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Lst>
        </c:dLbl>
      </c:pivotFmt>
      <c:pivotFmt>
        <c:idx val="6"/>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Analysis!$H$27</c:f>
              <c:strCache>
                <c:ptCount val="1"/>
                <c:pt idx="0">
                  <c:v>Total</c:v>
                </c:pt>
              </c:strCache>
            </c:strRef>
          </c:tx>
          <c:spPr>
            <a:solidFill>
              <a:schemeClr val="accent2"/>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A30A-4617-9DF4-BD7E0446913A}"/>
              </c:ext>
            </c:extLst>
          </c:dPt>
          <c:dPt>
            <c:idx val="1"/>
            <c:bubble3D val="0"/>
            <c:spPr>
              <a:solidFill>
                <a:schemeClr val="accent2"/>
              </a:solidFill>
              <a:ln w="19050">
                <a:noFill/>
              </a:ln>
              <a:effectLst/>
            </c:spPr>
            <c:extLst>
              <c:ext xmlns:c16="http://schemas.microsoft.com/office/drawing/2014/chart" uri="{C3380CC4-5D6E-409C-BE32-E72D297353CC}">
                <c16:uniqueId val="{00000003-A30A-4617-9DF4-BD7E0446913A}"/>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30A-4617-9DF4-BD7E0446913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 xmlns:c16="http://schemas.microsoft.com/office/drawing/2014/chart" uri="{C3380CC4-5D6E-409C-BE32-E72D297353CC}">
                  <c16:uniqueId val="{00000003-A30A-4617-9DF4-BD7E044691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Analysis!$G$28:$G$30</c:f>
              <c:strCache>
                <c:ptCount val="2"/>
                <c:pt idx="0">
                  <c:v>Won</c:v>
                </c:pt>
                <c:pt idx="1">
                  <c:v>Lost</c:v>
                </c:pt>
              </c:strCache>
            </c:strRef>
          </c:cat>
          <c:val>
            <c:numRef>
              <c:f>Analysis!$H$28:$H$30</c:f>
              <c:numCache>
                <c:formatCode>General</c:formatCode>
                <c:ptCount val="2"/>
                <c:pt idx="0">
                  <c:v>139</c:v>
                </c:pt>
                <c:pt idx="1">
                  <c:v>95</c:v>
                </c:pt>
              </c:numCache>
            </c:numRef>
          </c:val>
          <c:extLst>
            <c:ext xmlns:c16="http://schemas.microsoft.com/office/drawing/2014/chart" uri="{C3380CC4-5D6E-409C-BE32-E72D297353CC}">
              <c16:uniqueId val="{00000004-A30A-4617-9DF4-BD7E0446913A}"/>
            </c:ext>
          </c:extLst>
        </c:ser>
        <c:dLbls>
          <c:showLegendKey val="0"/>
          <c:showVal val="0"/>
          <c:showCatName val="0"/>
          <c:showSerName val="0"/>
          <c:showPercent val="0"/>
          <c:showBubbleSize val="0"/>
          <c:showLeaderLines val="0"/>
        </c:dLbls>
        <c:firstSliceAng val="18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2.033977738722907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lotArea>
      <c:layout/>
      <c:lineChart>
        <c:grouping val="standard"/>
        <c:varyColors val="0"/>
        <c:ser>
          <c:idx val="0"/>
          <c:order val="0"/>
          <c:tx>
            <c:strRef>
              <c:f>Bets!$S$1</c:f>
              <c:strCache>
                <c:ptCount val="1"/>
                <c:pt idx="0">
                  <c:v>Total Profit</c:v>
                </c:pt>
              </c:strCache>
            </c:strRef>
          </c:tx>
          <c:spPr>
            <a:ln w="28575" cap="rnd">
              <a:solidFill>
                <a:schemeClr val="accent1"/>
              </a:solidFill>
              <a:round/>
            </a:ln>
            <a:effectLst/>
          </c:spPr>
          <c:marker>
            <c:symbol val="none"/>
          </c:marker>
          <c:dLbls>
            <c:dLbl>
              <c:idx val="0"/>
              <c:tx>
                <c:rich>
                  <a:bodyPr/>
                  <a:lstStyle/>
                  <a:p>
                    <a:fld id="{B56F3784-8F5A-4F52-8D2D-8475758CC746}"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479-4E02-BA0F-355B9C21A7B3}"/>
                </c:ext>
              </c:extLst>
            </c:dLbl>
            <c:dLbl>
              <c:idx val="50"/>
              <c:tx>
                <c:rich>
                  <a:bodyPr/>
                  <a:lstStyle/>
                  <a:p>
                    <a:fld id="{C0F4DC89-0CE3-482A-B64D-DB41A52D7181}"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479-4E02-BA0F-355B9C21A7B3}"/>
                </c:ext>
              </c:extLst>
            </c:dLbl>
            <c:dLbl>
              <c:idx val="100"/>
              <c:tx>
                <c:rich>
                  <a:bodyPr/>
                  <a:lstStyle/>
                  <a:p>
                    <a:fld id="{753E85BE-80BE-48B4-92A0-B701E31BCF63}"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6479-4E02-BA0F-355B9C21A7B3}"/>
                </c:ext>
              </c:extLst>
            </c:dLbl>
            <c:dLbl>
              <c:idx val="150"/>
              <c:tx>
                <c:rich>
                  <a:bodyPr/>
                  <a:lstStyle/>
                  <a:p>
                    <a:fld id="{062FA38F-EE70-406F-A19A-C3276E97A678}"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F-6479-4E02-BA0F-355B9C21A7B3}"/>
                </c:ext>
              </c:extLst>
            </c:dLbl>
            <c:dLbl>
              <c:idx val="200"/>
              <c:tx>
                <c:rich>
                  <a:bodyPr/>
                  <a:lstStyle/>
                  <a:p>
                    <a:fld id="{804BE916-C67A-44DC-8AC6-011CE7F41E22}"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C053-4C4A-8A28-9D0BECC34A9D}"/>
                </c:ext>
              </c:extLst>
            </c:dLbl>
            <c:numFmt formatCode="#,##0\ &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accent6"/>
                    </a:solidFill>
                    <a:effectLst>
                      <a:glow rad="63500">
                        <a:schemeClr val="tx1">
                          <a:alpha val="40000"/>
                        </a:schemeClr>
                      </a:glow>
                    </a:effectLst>
                    <a:latin typeface="+mn-lt"/>
                    <a:ea typeface="+mn-ea"/>
                    <a:cs typeface="+mn-cs"/>
                  </a:defRPr>
                </a:pPr>
                <a:endParaRPr lang="pt-PT"/>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Bets!$R$2:$R$248</c:f>
              <c:numCache>
                <c:formatCode>m/d/yyyy</c:formatCode>
                <c:ptCount val="247"/>
                <c:pt idx="0">
                  <c:v>44822</c:v>
                </c:pt>
                <c:pt idx="1">
                  <c:v>44822</c:v>
                </c:pt>
                <c:pt idx="2">
                  <c:v>44824</c:v>
                </c:pt>
                <c:pt idx="3">
                  <c:v>44824</c:v>
                </c:pt>
                <c:pt idx="4">
                  <c:v>44824</c:v>
                </c:pt>
                <c:pt idx="5">
                  <c:v>44824</c:v>
                </c:pt>
                <c:pt idx="6">
                  <c:v>44824</c:v>
                </c:pt>
                <c:pt idx="7">
                  <c:v>44824</c:v>
                </c:pt>
                <c:pt idx="8">
                  <c:v>44824</c:v>
                </c:pt>
                <c:pt idx="9">
                  <c:v>44824</c:v>
                </c:pt>
                <c:pt idx="10">
                  <c:v>44825</c:v>
                </c:pt>
                <c:pt idx="11">
                  <c:v>44825</c:v>
                </c:pt>
                <c:pt idx="12">
                  <c:v>44825</c:v>
                </c:pt>
                <c:pt idx="13">
                  <c:v>44825</c:v>
                </c:pt>
                <c:pt idx="14">
                  <c:v>44825</c:v>
                </c:pt>
                <c:pt idx="15">
                  <c:v>44825</c:v>
                </c:pt>
                <c:pt idx="16">
                  <c:v>44825</c:v>
                </c:pt>
                <c:pt idx="17">
                  <c:v>44825</c:v>
                </c:pt>
                <c:pt idx="18">
                  <c:v>44825</c:v>
                </c:pt>
                <c:pt idx="19">
                  <c:v>44825</c:v>
                </c:pt>
                <c:pt idx="20">
                  <c:v>44825</c:v>
                </c:pt>
                <c:pt idx="21">
                  <c:v>44825</c:v>
                </c:pt>
                <c:pt idx="22">
                  <c:v>44825</c:v>
                </c:pt>
                <c:pt idx="23">
                  <c:v>44825</c:v>
                </c:pt>
                <c:pt idx="24">
                  <c:v>44825</c:v>
                </c:pt>
                <c:pt idx="25">
                  <c:v>44825</c:v>
                </c:pt>
                <c:pt idx="26">
                  <c:v>44826</c:v>
                </c:pt>
                <c:pt idx="27">
                  <c:v>44826</c:v>
                </c:pt>
                <c:pt idx="28">
                  <c:v>44826</c:v>
                </c:pt>
                <c:pt idx="29">
                  <c:v>44826</c:v>
                </c:pt>
                <c:pt idx="30">
                  <c:v>44826</c:v>
                </c:pt>
                <c:pt idx="31">
                  <c:v>44826</c:v>
                </c:pt>
                <c:pt idx="32">
                  <c:v>44826</c:v>
                </c:pt>
                <c:pt idx="33">
                  <c:v>44826</c:v>
                </c:pt>
                <c:pt idx="34">
                  <c:v>44826</c:v>
                </c:pt>
                <c:pt idx="35">
                  <c:v>44826</c:v>
                </c:pt>
                <c:pt idx="36">
                  <c:v>44826</c:v>
                </c:pt>
                <c:pt idx="37">
                  <c:v>44826</c:v>
                </c:pt>
                <c:pt idx="38">
                  <c:v>44826</c:v>
                </c:pt>
                <c:pt idx="39">
                  <c:v>44826</c:v>
                </c:pt>
                <c:pt idx="40">
                  <c:v>44826</c:v>
                </c:pt>
                <c:pt idx="41">
                  <c:v>44826</c:v>
                </c:pt>
                <c:pt idx="42">
                  <c:v>44826</c:v>
                </c:pt>
                <c:pt idx="43">
                  <c:v>44826</c:v>
                </c:pt>
                <c:pt idx="44">
                  <c:v>44827</c:v>
                </c:pt>
                <c:pt idx="45">
                  <c:v>44827</c:v>
                </c:pt>
                <c:pt idx="46">
                  <c:v>44827</c:v>
                </c:pt>
                <c:pt idx="47">
                  <c:v>44827</c:v>
                </c:pt>
                <c:pt idx="48">
                  <c:v>44827</c:v>
                </c:pt>
                <c:pt idx="49">
                  <c:v>44827</c:v>
                </c:pt>
                <c:pt idx="50">
                  <c:v>44827</c:v>
                </c:pt>
                <c:pt idx="51">
                  <c:v>44827</c:v>
                </c:pt>
                <c:pt idx="52">
                  <c:v>44827</c:v>
                </c:pt>
                <c:pt idx="53">
                  <c:v>44827</c:v>
                </c:pt>
                <c:pt idx="54">
                  <c:v>44827</c:v>
                </c:pt>
                <c:pt idx="55">
                  <c:v>44827</c:v>
                </c:pt>
                <c:pt idx="56">
                  <c:v>44827</c:v>
                </c:pt>
                <c:pt idx="57">
                  <c:v>44827</c:v>
                </c:pt>
                <c:pt idx="58">
                  <c:v>44827</c:v>
                </c:pt>
                <c:pt idx="59">
                  <c:v>44827</c:v>
                </c:pt>
                <c:pt idx="60">
                  <c:v>44827</c:v>
                </c:pt>
                <c:pt idx="61">
                  <c:v>44827</c:v>
                </c:pt>
                <c:pt idx="62">
                  <c:v>44827</c:v>
                </c:pt>
                <c:pt idx="63">
                  <c:v>44827</c:v>
                </c:pt>
                <c:pt idx="64">
                  <c:v>44827</c:v>
                </c:pt>
                <c:pt idx="65">
                  <c:v>44827</c:v>
                </c:pt>
                <c:pt idx="66">
                  <c:v>44827</c:v>
                </c:pt>
                <c:pt idx="67">
                  <c:v>44828</c:v>
                </c:pt>
                <c:pt idx="68">
                  <c:v>44828</c:v>
                </c:pt>
                <c:pt idx="69">
                  <c:v>44828</c:v>
                </c:pt>
                <c:pt idx="70">
                  <c:v>44828</c:v>
                </c:pt>
                <c:pt idx="71">
                  <c:v>44828</c:v>
                </c:pt>
                <c:pt idx="72">
                  <c:v>44828</c:v>
                </c:pt>
                <c:pt idx="73">
                  <c:v>44828</c:v>
                </c:pt>
                <c:pt idx="74">
                  <c:v>44828</c:v>
                </c:pt>
                <c:pt idx="75">
                  <c:v>44828</c:v>
                </c:pt>
                <c:pt idx="76">
                  <c:v>44828</c:v>
                </c:pt>
                <c:pt idx="77">
                  <c:v>44828</c:v>
                </c:pt>
                <c:pt idx="78">
                  <c:v>44828</c:v>
                </c:pt>
                <c:pt idx="79">
                  <c:v>44828</c:v>
                </c:pt>
                <c:pt idx="80">
                  <c:v>44828</c:v>
                </c:pt>
                <c:pt idx="81">
                  <c:v>44829</c:v>
                </c:pt>
                <c:pt idx="82">
                  <c:v>44829</c:v>
                </c:pt>
                <c:pt idx="83">
                  <c:v>44829</c:v>
                </c:pt>
                <c:pt idx="84">
                  <c:v>44829</c:v>
                </c:pt>
                <c:pt idx="85">
                  <c:v>44829</c:v>
                </c:pt>
                <c:pt idx="86">
                  <c:v>44829</c:v>
                </c:pt>
                <c:pt idx="87">
                  <c:v>44829</c:v>
                </c:pt>
                <c:pt idx="88">
                  <c:v>44830</c:v>
                </c:pt>
                <c:pt idx="89">
                  <c:v>44830</c:v>
                </c:pt>
                <c:pt idx="90">
                  <c:v>44831</c:v>
                </c:pt>
                <c:pt idx="91">
                  <c:v>44831</c:v>
                </c:pt>
                <c:pt idx="92">
                  <c:v>44831</c:v>
                </c:pt>
                <c:pt idx="93">
                  <c:v>44831</c:v>
                </c:pt>
                <c:pt idx="94">
                  <c:v>44831</c:v>
                </c:pt>
                <c:pt idx="95">
                  <c:v>44832</c:v>
                </c:pt>
                <c:pt idx="96">
                  <c:v>44833</c:v>
                </c:pt>
                <c:pt idx="97">
                  <c:v>44834</c:v>
                </c:pt>
                <c:pt idx="98">
                  <c:v>44834</c:v>
                </c:pt>
                <c:pt idx="99">
                  <c:v>44834</c:v>
                </c:pt>
                <c:pt idx="100">
                  <c:v>44834</c:v>
                </c:pt>
                <c:pt idx="101">
                  <c:v>44834</c:v>
                </c:pt>
                <c:pt idx="102">
                  <c:v>44834</c:v>
                </c:pt>
                <c:pt idx="103">
                  <c:v>44834</c:v>
                </c:pt>
                <c:pt idx="104">
                  <c:v>44834</c:v>
                </c:pt>
                <c:pt idx="105">
                  <c:v>44834</c:v>
                </c:pt>
                <c:pt idx="106">
                  <c:v>44835</c:v>
                </c:pt>
                <c:pt idx="107">
                  <c:v>44836</c:v>
                </c:pt>
                <c:pt idx="108">
                  <c:v>44836</c:v>
                </c:pt>
                <c:pt idx="109">
                  <c:v>44836</c:v>
                </c:pt>
                <c:pt idx="110">
                  <c:v>44836</c:v>
                </c:pt>
                <c:pt idx="111">
                  <c:v>44836</c:v>
                </c:pt>
                <c:pt idx="112">
                  <c:v>44836</c:v>
                </c:pt>
                <c:pt idx="113">
                  <c:v>44836</c:v>
                </c:pt>
                <c:pt idx="114">
                  <c:v>44837</c:v>
                </c:pt>
                <c:pt idx="115">
                  <c:v>44838</c:v>
                </c:pt>
                <c:pt idx="116">
                  <c:v>44838</c:v>
                </c:pt>
                <c:pt idx="117">
                  <c:v>44839</c:v>
                </c:pt>
                <c:pt idx="118">
                  <c:v>44839</c:v>
                </c:pt>
                <c:pt idx="119">
                  <c:v>44840</c:v>
                </c:pt>
                <c:pt idx="120">
                  <c:v>44840</c:v>
                </c:pt>
                <c:pt idx="121">
                  <c:v>44840</c:v>
                </c:pt>
                <c:pt idx="122">
                  <c:v>44840</c:v>
                </c:pt>
                <c:pt idx="123">
                  <c:v>44840</c:v>
                </c:pt>
                <c:pt idx="124">
                  <c:v>44841</c:v>
                </c:pt>
                <c:pt idx="125">
                  <c:v>44841</c:v>
                </c:pt>
                <c:pt idx="126">
                  <c:v>44841</c:v>
                </c:pt>
                <c:pt idx="127">
                  <c:v>44841</c:v>
                </c:pt>
                <c:pt idx="128">
                  <c:v>44841</c:v>
                </c:pt>
                <c:pt idx="129">
                  <c:v>44841</c:v>
                </c:pt>
                <c:pt idx="130">
                  <c:v>44841</c:v>
                </c:pt>
                <c:pt idx="131">
                  <c:v>44841</c:v>
                </c:pt>
                <c:pt idx="132">
                  <c:v>44841</c:v>
                </c:pt>
                <c:pt idx="133">
                  <c:v>44842</c:v>
                </c:pt>
                <c:pt idx="134">
                  <c:v>44842</c:v>
                </c:pt>
                <c:pt idx="135">
                  <c:v>44842</c:v>
                </c:pt>
                <c:pt idx="136">
                  <c:v>44842</c:v>
                </c:pt>
                <c:pt idx="137">
                  <c:v>44842</c:v>
                </c:pt>
                <c:pt idx="138">
                  <c:v>44842</c:v>
                </c:pt>
                <c:pt idx="139">
                  <c:v>44843</c:v>
                </c:pt>
                <c:pt idx="140">
                  <c:v>44843</c:v>
                </c:pt>
                <c:pt idx="141">
                  <c:v>44843</c:v>
                </c:pt>
                <c:pt idx="142">
                  <c:v>44843</c:v>
                </c:pt>
                <c:pt idx="143">
                  <c:v>44843</c:v>
                </c:pt>
                <c:pt idx="144">
                  <c:v>44843</c:v>
                </c:pt>
                <c:pt idx="145">
                  <c:v>44843</c:v>
                </c:pt>
                <c:pt idx="146">
                  <c:v>44843</c:v>
                </c:pt>
                <c:pt idx="147">
                  <c:v>44843</c:v>
                </c:pt>
                <c:pt idx="148">
                  <c:v>44844</c:v>
                </c:pt>
                <c:pt idx="149">
                  <c:v>44844</c:v>
                </c:pt>
                <c:pt idx="150">
                  <c:v>44844</c:v>
                </c:pt>
                <c:pt idx="151">
                  <c:v>44844</c:v>
                </c:pt>
                <c:pt idx="152">
                  <c:v>44844</c:v>
                </c:pt>
                <c:pt idx="153">
                  <c:v>44844</c:v>
                </c:pt>
                <c:pt idx="154">
                  <c:v>44844</c:v>
                </c:pt>
                <c:pt idx="155">
                  <c:v>44844</c:v>
                </c:pt>
                <c:pt idx="156">
                  <c:v>44844</c:v>
                </c:pt>
                <c:pt idx="157">
                  <c:v>44844</c:v>
                </c:pt>
                <c:pt idx="158">
                  <c:v>44845</c:v>
                </c:pt>
                <c:pt idx="159">
                  <c:v>44845</c:v>
                </c:pt>
                <c:pt idx="160">
                  <c:v>44845</c:v>
                </c:pt>
                <c:pt idx="161">
                  <c:v>44845</c:v>
                </c:pt>
                <c:pt idx="162">
                  <c:v>44845</c:v>
                </c:pt>
                <c:pt idx="163">
                  <c:v>44845</c:v>
                </c:pt>
                <c:pt idx="164">
                  <c:v>44845</c:v>
                </c:pt>
                <c:pt idx="165">
                  <c:v>44845</c:v>
                </c:pt>
                <c:pt idx="166">
                  <c:v>44845</c:v>
                </c:pt>
                <c:pt idx="167">
                  <c:v>44845</c:v>
                </c:pt>
                <c:pt idx="168">
                  <c:v>44845</c:v>
                </c:pt>
                <c:pt idx="169">
                  <c:v>44846</c:v>
                </c:pt>
                <c:pt idx="170">
                  <c:v>44846</c:v>
                </c:pt>
                <c:pt idx="171">
                  <c:v>44846</c:v>
                </c:pt>
                <c:pt idx="172">
                  <c:v>44846</c:v>
                </c:pt>
                <c:pt idx="173">
                  <c:v>44846</c:v>
                </c:pt>
                <c:pt idx="174">
                  <c:v>44846</c:v>
                </c:pt>
                <c:pt idx="175">
                  <c:v>44846</c:v>
                </c:pt>
                <c:pt idx="176">
                  <c:v>44846</c:v>
                </c:pt>
                <c:pt idx="177">
                  <c:v>44847</c:v>
                </c:pt>
                <c:pt idx="178">
                  <c:v>44847</c:v>
                </c:pt>
                <c:pt idx="179">
                  <c:v>44847</c:v>
                </c:pt>
                <c:pt idx="180">
                  <c:v>44847</c:v>
                </c:pt>
                <c:pt idx="181">
                  <c:v>44847</c:v>
                </c:pt>
                <c:pt idx="182">
                  <c:v>44847</c:v>
                </c:pt>
                <c:pt idx="183">
                  <c:v>44848</c:v>
                </c:pt>
                <c:pt idx="184">
                  <c:v>44848</c:v>
                </c:pt>
                <c:pt idx="185">
                  <c:v>44848</c:v>
                </c:pt>
                <c:pt idx="186">
                  <c:v>44848</c:v>
                </c:pt>
                <c:pt idx="187">
                  <c:v>44848</c:v>
                </c:pt>
                <c:pt idx="188">
                  <c:v>44848</c:v>
                </c:pt>
                <c:pt idx="189">
                  <c:v>44848</c:v>
                </c:pt>
                <c:pt idx="190">
                  <c:v>44848</c:v>
                </c:pt>
                <c:pt idx="191">
                  <c:v>44848</c:v>
                </c:pt>
                <c:pt idx="192">
                  <c:v>44848</c:v>
                </c:pt>
                <c:pt idx="193">
                  <c:v>44848</c:v>
                </c:pt>
                <c:pt idx="194">
                  <c:v>44848</c:v>
                </c:pt>
                <c:pt idx="195">
                  <c:v>44848</c:v>
                </c:pt>
                <c:pt idx="196">
                  <c:v>44849</c:v>
                </c:pt>
                <c:pt idx="197">
                  <c:v>44849</c:v>
                </c:pt>
                <c:pt idx="198">
                  <c:v>44849</c:v>
                </c:pt>
                <c:pt idx="199">
                  <c:v>44849</c:v>
                </c:pt>
                <c:pt idx="200">
                  <c:v>44849</c:v>
                </c:pt>
                <c:pt idx="201">
                  <c:v>44849</c:v>
                </c:pt>
                <c:pt idx="202">
                  <c:v>44849</c:v>
                </c:pt>
                <c:pt idx="203">
                  <c:v>44849</c:v>
                </c:pt>
                <c:pt idx="204">
                  <c:v>44849</c:v>
                </c:pt>
                <c:pt idx="205">
                  <c:v>44849</c:v>
                </c:pt>
                <c:pt idx="206">
                  <c:v>44849</c:v>
                </c:pt>
                <c:pt idx="207">
                  <c:v>44849</c:v>
                </c:pt>
                <c:pt idx="208">
                  <c:v>44849</c:v>
                </c:pt>
                <c:pt idx="209">
                  <c:v>44849</c:v>
                </c:pt>
                <c:pt idx="210">
                  <c:v>44849</c:v>
                </c:pt>
                <c:pt idx="211">
                  <c:v>44849</c:v>
                </c:pt>
                <c:pt idx="212">
                  <c:v>44849</c:v>
                </c:pt>
                <c:pt idx="213">
                  <c:v>44849</c:v>
                </c:pt>
                <c:pt idx="214">
                  <c:v>44849</c:v>
                </c:pt>
                <c:pt idx="215">
                  <c:v>44850</c:v>
                </c:pt>
                <c:pt idx="216">
                  <c:v>44850</c:v>
                </c:pt>
                <c:pt idx="217">
                  <c:v>44850</c:v>
                </c:pt>
                <c:pt idx="218">
                  <c:v>44850</c:v>
                </c:pt>
                <c:pt idx="219">
                  <c:v>44850</c:v>
                </c:pt>
                <c:pt idx="220">
                  <c:v>44850</c:v>
                </c:pt>
                <c:pt idx="221">
                  <c:v>44850</c:v>
                </c:pt>
                <c:pt idx="222">
                  <c:v>44850</c:v>
                </c:pt>
                <c:pt idx="223">
                  <c:v>44850</c:v>
                </c:pt>
                <c:pt idx="224">
                  <c:v>44850</c:v>
                </c:pt>
                <c:pt idx="225">
                  <c:v>44850</c:v>
                </c:pt>
                <c:pt idx="226">
                  <c:v>44850</c:v>
                </c:pt>
                <c:pt idx="227">
                  <c:v>44850</c:v>
                </c:pt>
                <c:pt idx="228">
                  <c:v>44850</c:v>
                </c:pt>
                <c:pt idx="229">
                  <c:v>44850</c:v>
                </c:pt>
                <c:pt idx="230">
                  <c:v>44850</c:v>
                </c:pt>
                <c:pt idx="231">
                  <c:v>44850</c:v>
                </c:pt>
                <c:pt idx="232">
                  <c:v>44850</c:v>
                </c:pt>
                <c:pt idx="233">
                  <c:v>44850</c:v>
                </c:pt>
                <c:pt idx="234">
                  <c:v>44850</c:v>
                </c:pt>
                <c:pt idx="235">
                  <c:v>44850</c:v>
                </c:pt>
                <c:pt idx="236">
                  <c:v>44850</c:v>
                </c:pt>
                <c:pt idx="237">
                  <c:v>44850</c:v>
                </c:pt>
                <c:pt idx="238">
                  <c:v>44851</c:v>
                </c:pt>
                <c:pt idx="239">
                  <c:v>44851</c:v>
                </c:pt>
                <c:pt idx="240">
                  <c:v>44851</c:v>
                </c:pt>
                <c:pt idx="241">
                  <c:v>44851</c:v>
                </c:pt>
                <c:pt idx="242">
                  <c:v>44851</c:v>
                </c:pt>
                <c:pt idx="243">
                  <c:v>44851</c:v>
                </c:pt>
                <c:pt idx="244">
                  <c:v>44851</c:v>
                </c:pt>
                <c:pt idx="245">
                  <c:v>44851</c:v>
                </c:pt>
                <c:pt idx="246">
                  <c:v>44851</c:v>
                </c:pt>
              </c:numCache>
            </c:numRef>
          </c:cat>
          <c:val>
            <c:numRef>
              <c:f>Bets!$S$2:$S$248</c:f>
              <c:numCache>
                <c:formatCode>#\ ##0.00\ "€"</c:formatCode>
                <c:ptCount val="247"/>
                <c:pt idx="0">
                  <c:v>3.4000000000000004</c:v>
                </c:pt>
                <c:pt idx="1">
                  <c:v>5.3680000000000003</c:v>
                </c:pt>
                <c:pt idx="2">
                  <c:v>1.3680000000000003</c:v>
                </c:pt>
                <c:pt idx="3">
                  <c:v>-2.6319999999999997</c:v>
                </c:pt>
                <c:pt idx="4">
                  <c:v>-0.47199999999999953</c:v>
                </c:pt>
                <c:pt idx="5">
                  <c:v>1.7680000000000007</c:v>
                </c:pt>
                <c:pt idx="6">
                  <c:v>-2.2319999999999993</c:v>
                </c:pt>
                <c:pt idx="7">
                  <c:v>-6.2319999999999993</c:v>
                </c:pt>
                <c:pt idx="8">
                  <c:v>-4.1519999999999992</c:v>
                </c:pt>
                <c:pt idx="9">
                  <c:v>-1.2719999999999994</c:v>
                </c:pt>
                <c:pt idx="10">
                  <c:v>1.4080000000000004</c:v>
                </c:pt>
                <c:pt idx="11">
                  <c:v>3.6080000000000005</c:v>
                </c:pt>
                <c:pt idx="12">
                  <c:v>6.0280000000000005</c:v>
                </c:pt>
                <c:pt idx="13">
                  <c:v>7.7080000000000002</c:v>
                </c:pt>
                <c:pt idx="14">
                  <c:v>9.2759999999999998</c:v>
                </c:pt>
                <c:pt idx="15">
                  <c:v>11.356</c:v>
                </c:pt>
                <c:pt idx="16">
                  <c:v>7.3559999999999999</c:v>
                </c:pt>
                <c:pt idx="17">
                  <c:v>9.0359999999999996</c:v>
                </c:pt>
                <c:pt idx="18">
                  <c:v>10.835999999999999</c:v>
                </c:pt>
                <c:pt idx="19">
                  <c:v>6.8359999999999985</c:v>
                </c:pt>
                <c:pt idx="20">
                  <c:v>9.1159999999999997</c:v>
                </c:pt>
                <c:pt idx="21">
                  <c:v>11.436</c:v>
                </c:pt>
                <c:pt idx="22">
                  <c:v>14.836</c:v>
                </c:pt>
                <c:pt idx="23">
                  <c:v>16.716000000000001</c:v>
                </c:pt>
                <c:pt idx="24">
                  <c:v>19.176000000000002</c:v>
                </c:pt>
                <c:pt idx="25">
                  <c:v>20.236000000000001</c:v>
                </c:pt>
                <c:pt idx="26">
                  <c:v>22.016000000000002</c:v>
                </c:pt>
                <c:pt idx="27">
                  <c:v>25.776000000000003</c:v>
                </c:pt>
                <c:pt idx="28">
                  <c:v>27.856000000000002</c:v>
                </c:pt>
                <c:pt idx="29">
                  <c:v>29.376000000000001</c:v>
                </c:pt>
                <c:pt idx="30">
                  <c:v>25.376000000000001</c:v>
                </c:pt>
                <c:pt idx="31">
                  <c:v>21.376000000000001</c:v>
                </c:pt>
                <c:pt idx="32">
                  <c:v>17.376000000000001</c:v>
                </c:pt>
                <c:pt idx="33">
                  <c:v>13.376000000000001</c:v>
                </c:pt>
                <c:pt idx="34">
                  <c:v>15.136000000000001</c:v>
                </c:pt>
                <c:pt idx="35">
                  <c:v>11.136000000000001</c:v>
                </c:pt>
                <c:pt idx="36">
                  <c:v>14.796000000000001</c:v>
                </c:pt>
                <c:pt idx="37">
                  <c:v>18.696000000000002</c:v>
                </c:pt>
                <c:pt idx="38">
                  <c:v>12.696000000000002</c:v>
                </c:pt>
                <c:pt idx="39">
                  <c:v>8.6960000000000015</c:v>
                </c:pt>
                <c:pt idx="40">
                  <c:v>12.096000000000002</c:v>
                </c:pt>
                <c:pt idx="41">
                  <c:v>14.016000000000002</c:v>
                </c:pt>
                <c:pt idx="42">
                  <c:v>15.416000000000002</c:v>
                </c:pt>
                <c:pt idx="43">
                  <c:v>11.416000000000002</c:v>
                </c:pt>
                <c:pt idx="44">
                  <c:v>7.4160000000000021</c:v>
                </c:pt>
                <c:pt idx="45">
                  <c:v>3.4160000000000021</c:v>
                </c:pt>
                <c:pt idx="46">
                  <c:v>5.0640000000000018</c:v>
                </c:pt>
                <c:pt idx="47">
                  <c:v>7.1920000000000019</c:v>
                </c:pt>
                <c:pt idx="48">
                  <c:v>9.392000000000003</c:v>
                </c:pt>
                <c:pt idx="49">
                  <c:v>5.392000000000003</c:v>
                </c:pt>
                <c:pt idx="50">
                  <c:v>1.392000000000003</c:v>
                </c:pt>
                <c:pt idx="51">
                  <c:v>1.392000000000003</c:v>
                </c:pt>
                <c:pt idx="52">
                  <c:v>1.392000000000003</c:v>
                </c:pt>
                <c:pt idx="53">
                  <c:v>1.392000000000003</c:v>
                </c:pt>
                <c:pt idx="54">
                  <c:v>1.392000000000003</c:v>
                </c:pt>
                <c:pt idx="55">
                  <c:v>-2.607999999999997</c:v>
                </c:pt>
                <c:pt idx="56">
                  <c:v>-6.607999999999997</c:v>
                </c:pt>
                <c:pt idx="57">
                  <c:v>-10.607999999999997</c:v>
                </c:pt>
                <c:pt idx="58">
                  <c:v>-14.607999999999997</c:v>
                </c:pt>
                <c:pt idx="59">
                  <c:v>-11.887999999999998</c:v>
                </c:pt>
                <c:pt idx="60">
                  <c:v>-15.887999999999998</c:v>
                </c:pt>
                <c:pt idx="61">
                  <c:v>-19.887999999999998</c:v>
                </c:pt>
                <c:pt idx="62">
                  <c:v>-17.407999999999998</c:v>
                </c:pt>
                <c:pt idx="63">
                  <c:v>-14.927999999999997</c:v>
                </c:pt>
                <c:pt idx="64">
                  <c:v>-18.927999999999997</c:v>
                </c:pt>
                <c:pt idx="65">
                  <c:v>-15.887999999999998</c:v>
                </c:pt>
                <c:pt idx="66">
                  <c:v>-12.687999999999999</c:v>
                </c:pt>
                <c:pt idx="67">
                  <c:v>-9.0239999999999991</c:v>
                </c:pt>
                <c:pt idx="68">
                  <c:v>-13.023999999999999</c:v>
                </c:pt>
                <c:pt idx="69">
                  <c:v>-17.024000000000001</c:v>
                </c:pt>
                <c:pt idx="70">
                  <c:v>-21.024000000000001</c:v>
                </c:pt>
                <c:pt idx="71">
                  <c:v>-25.024000000000001</c:v>
                </c:pt>
                <c:pt idx="72">
                  <c:v>-22.444000000000003</c:v>
                </c:pt>
                <c:pt idx="73">
                  <c:v>-21.068000000000001</c:v>
                </c:pt>
                <c:pt idx="74">
                  <c:v>-25.068000000000001</c:v>
                </c:pt>
                <c:pt idx="75">
                  <c:v>-29.068000000000001</c:v>
                </c:pt>
                <c:pt idx="76">
                  <c:v>-31.068000000000001</c:v>
                </c:pt>
                <c:pt idx="77">
                  <c:v>-31.068000000000001</c:v>
                </c:pt>
                <c:pt idx="78">
                  <c:v>-31.068000000000001</c:v>
                </c:pt>
                <c:pt idx="79">
                  <c:v>-31.068000000000001</c:v>
                </c:pt>
                <c:pt idx="80">
                  <c:v>-31.068000000000001</c:v>
                </c:pt>
                <c:pt idx="81">
                  <c:v>-35.067999999999998</c:v>
                </c:pt>
                <c:pt idx="82">
                  <c:v>-40.067999999999998</c:v>
                </c:pt>
                <c:pt idx="83">
                  <c:v>-44.067999999999998</c:v>
                </c:pt>
                <c:pt idx="84">
                  <c:v>-40.907919999999997</c:v>
                </c:pt>
                <c:pt idx="85">
                  <c:v>-44.907919999999997</c:v>
                </c:pt>
                <c:pt idx="86">
                  <c:v>-42.227919999999997</c:v>
                </c:pt>
                <c:pt idx="87">
                  <c:v>-43.327919999999999</c:v>
                </c:pt>
                <c:pt idx="88">
                  <c:v>-38.33128</c:v>
                </c:pt>
                <c:pt idx="89">
                  <c:v>-42.33128</c:v>
                </c:pt>
                <c:pt idx="90">
                  <c:v>-40.531280000000002</c:v>
                </c:pt>
                <c:pt idx="91">
                  <c:v>-38.323280000000004</c:v>
                </c:pt>
                <c:pt idx="92">
                  <c:v>-33.843280000000007</c:v>
                </c:pt>
                <c:pt idx="93">
                  <c:v>-31.703280000000007</c:v>
                </c:pt>
                <c:pt idx="94">
                  <c:v>-29.003280000000007</c:v>
                </c:pt>
                <c:pt idx="95">
                  <c:v>-27.563280000000006</c:v>
                </c:pt>
                <c:pt idx="96">
                  <c:v>-24.523280000000007</c:v>
                </c:pt>
                <c:pt idx="97">
                  <c:v>-22.763280000000009</c:v>
                </c:pt>
                <c:pt idx="98">
                  <c:v>-26.763280000000009</c:v>
                </c:pt>
                <c:pt idx="99">
                  <c:v>-30.763280000000009</c:v>
                </c:pt>
                <c:pt idx="100">
                  <c:v>-34.763280000000009</c:v>
                </c:pt>
                <c:pt idx="101">
                  <c:v>-38.763280000000009</c:v>
                </c:pt>
                <c:pt idx="102">
                  <c:v>-35.04328000000001</c:v>
                </c:pt>
                <c:pt idx="103">
                  <c:v>-33.061580000000006</c:v>
                </c:pt>
                <c:pt idx="104">
                  <c:v>-29.661580000000008</c:v>
                </c:pt>
                <c:pt idx="105">
                  <c:v>-26.381580000000007</c:v>
                </c:pt>
                <c:pt idx="106">
                  <c:v>-24.461580000000005</c:v>
                </c:pt>
                <c:pt idx="107">
                  <c:v>-22.661580000000004</c:v>
                </c:pt>
                <c:pt idx="108">
                  <c:v>-26.661580000000004</c:v>
                </c:pt>
                <c:pt idx="109">
                  <c:v>-24.501580000000004</c:v>
                </c:pt>
                <c:pt idx="110">
                  <c:v>-21.101580000000006</c:v>
                </c:pt>
                <c:pt idx="111">
                  <c:v>-19.101580000000006</c:v>
                </c:pt>
                <c:pt idx="112">
                  <c:v>-23.101580000000006</c:v>
                </c:pt>
                <c:pt idx="113">
                  <c:v>-21.141580000000005</c:v>
                </c:pt>
                <c:pt idx="114">
                  <c:v>-17.841580000000004</c:v>
                </c:pt>
                <c:pt idx="115">
                  <c:v>-15.209580000000004</c:v>
                </c:pt>
                <c:pt idx="116">
                  <c:v>-19.209580000000003</c:v>
                </c:pt>
                <c:pt idx="117">
                  <c:v>-17.089580000000002</c:v>
                </c:pt>
                <c:pt idx="118">
                  <c:v>-21.089580000000002</c:v>
                </c:pt>
                <c:pt idx="119">
                  <c:v>-19.449580000000001</c:v>
                </c:pt>
                <c:pt idx="120">
                  <c:v>-17.569580000000002</c:v>
                </c:pt>
                <c:pt idx="121">
                  <c:v>-16.32958</c:v>
                </c:pt>
                <c:pt idx="122">
                  <c:v>-20.32958</c:v>
                </c:pt>
                <c:pt idx="123">
                  <c:v>-18.409579999999998</c:v>
                </c:pt>
                <c:pt idx="124">
                  <c:v>-14.461579999999998</c:v>
                </c:pt>
                <c:pt idx="125">
                  <c:v>-18.461579999999998</c:v>
                </c:pt>
                <c:pt idx="126">
                  <c:v>-13.341579999999999</c:v>
                </c:pt>
                <c:pt idx="127">
                  <c:v>-10.749579999999998</c:v>
                </c:pt>
                <c:pt idx="128">
                  <c:v>-6.2695799999999977</c:v>
                </c:pt>
                <c:pt idx="129">
                  <c:v>-3.3495799999999978</c:v>
                </c:pt>
                <c:pt idx="130">
                  <c:v>-7.3495799999999978</c:v>
                </c:pt>
                <c:pt idx="131">
                  <c:v>-11.349579999999998</c:v>
                </c:pt>
                <c:pt idx="132">
                  <c:v>-15.349579999999998</c:v>
                </c:pt>
                <c:pt idx="133">
                  <c:v>-19.349579999999996</c:v>
                </c:pt>
                <c:pt idx="134">
                  <c:v>-25.349579999999996</c:v>
                </c:pt>
                <c:pt idx="135">
                  <c:v>-22.319579999999995</c:v>
                </c:pt>
                <c:pt idx="136">
                  <c:v>-19.999579999999995</c:v>
                </c:pt>
                <c:pt idx="137">
                  <c:v>-17.239579999999997</c:v>
                </c:pt>
                <c:pt idx="138">
                  <c:v>-15.279579999999996</c:v>
                </c:pt>
                <c:pt idx="139">
                  <c:v>-19.279579999999996</c:v>
                </c:pt>
                <c:pt idx="140">
                  <c:v>-23.279579999999996</c:v>
                </c:pt>
                <c:pt idx="141">
                  <c:v>-20.939579999999996</c:v>
                </c:pt>
                <c:pt idx="142">
                  <c:v>-26.939579999999996</c:v>
                </c:pt>
                <c:pt idx="143">
                  <c:v>-32.939579999999992</c:v>
                </c:pt>
                <c:pt idx="144">
                  <c:v>-40.939579999999992</c:v>
                </c:pt>
                <c:pt idx="145">
                  <c:v>-50.009579999999993</c:v>
                </c:pt>
                <c:pt idx="146">
                  <c:v>-48.44957999999999</c:v>
                </c:pt>
                <c:pt idx="147">
                  <c:v>-46.009579999999993</c:v>
                </c:pt>
                <c:pt idx="148">
                  <c:v>-46.009579999999993</c:v>
                </c:pt>
                <c:pt idx="149">
                  <c:v>-41.529579999999996</c:v>
                </c:pt>
                <c:pt idx="150">
                  <c:v>-39.049579999999992</c:v>
                </c:pt>
                <c:pt idx="151">
                  <c:v>-43.049579999999992</c:v>
                </c:pt>
                <c:pt idx="152">
                  <c:v>-43.049579999999992</c:v>
                </c:pt>
                <c:pt idx="153">
                  <c:v>-40.889579999999995</c:v>
                </c:pt>
                <c:pt idx="154">
                  <c:v>-38.569579999999995</c:v>
                </c:pt>
                <c:pt idx="155">
                  <c:v>-42.569579999999995</c:v>
                </c:pt>
                <c:pt idx="156">
                  <c:v>-46.569579999999995</c:v>
                </c:pt>
                <c:pt idx="157">
                  <c:v>-50.569579999999995</c:v>
                </c:pt>
                <c:pt idx="158">
                  <c:v>-49.049579999999992</c:v>
                </c:pt>
                <c:pt idx="159">
                  <c:v>-53.049579999999992</c:v>
                </c:pt>
                <c:pt idx="160">
                  <c:v>-51.389579999999995</c:v>
                </c:pt>
                <c:pt idx="161">
                  <c:v>-55.389579999999995</c:v>
                </c:pt>
                <c:pt idx="162">
                  <c:v>-53.429579999999994</c:v>
                </c:pt>
                <c:pt idx="163">
                  <c:v>-57.429579999999994</c:v>
                </c:pt>
                <c:pt idx="164">
                  <c:v>-50.677579999999992</c:v>
                </c:pt>
                <c:pt idx="165">
                  <c:v>-45.717579999999991</c:v>
                </c:pt>
                <c:pt idx="166">
                  <c:v>-49.717579999999991</c:v>
                </c:pt>
                <c:pt idx="167">
                  <c:v>-45.397579999999991</c:v>
                </c:pt>
                <c:pt idx="168">
                  <c:v>-41.557579999999987</c:v>
                </c:pt>
                <c:pt idx="169">
                  <c:v>-39.357579999999984</c:v>
                </c:pt>
                <c:pt idx="170">
                  <c:v>-37.517579999999981</c:v>
                </c:pt>
                <c:pt idx="171">
                  <c:v>-33.677579999999978</c:v>
                </c:pt>
                <c:pt idx="172">
                  <c:v>-28.91757999999998</c:v>
                </c:pt>
                <c:pt idx="173">
                  <c:v>-27.01357999999998</c:v>
                </c:pt>
                <c:pt idx="174">
                  <c:v>-23.933579999999978</c:v>
                </c:pt>
                <c:pt idx="175">
                  <c:v>-21.709579999999978</c:v>
                </c:pt>
                <c:pt idx="176">
                  <c:v>-19.829579999999979</c:v>
                </c:pt>
                <c:pt idx="177">
                  <c:v>-17.10957999999998</c:v>
                </c:pt>
                <c:pt idx="178">
                  <c:v>-21.10957999999998</c:v>
                </c:pt>
                <c:pt idx="179">
                  <c:v>-19.68557999999998</c:v>
                </c:pt>
                <c:pt idx="180">
                  <c:v>-23.68557999999998</c:v>
                </c:pt>
                <c:pt idx="181">
                  <c:v>-20.613579999999981</c:v>
                </c:pt>
                <c:pt idx="182">
                  <c:v>-24.613579999999981</c:v>
                </c:pt>
                <c:pt idx="183">
                  <c:v>-28.613579999999981</c:v>
                </c:pt>
                <c:pt idx="184">
                  <c:v>-26.293579999999981</c:v>
                </c:pt>
                <c:pt idx="185">
                  <c:v>-23.533579999999979</c:v>
                </c:pt>
                <c:pt idx="186">
                  <c:v>-27.533579999999979</c:v>
                </c:pt>
                <c:pt idx="187">
                  <c:v>-24.58957999999998</c:v>
                </c:pt>
                <c:pt idx="188">
                  <c:v>-23.069579999999981</c:v>
                </c:pt>
                <c:pt idx="189">
                  <c:v>-20.829579999999979</c:v>
                </c:pt>
                <c:pt idx="190">
                  <c:v>-18.029579999999978</c:v>
                </c:pt>
                <c:pt idx="191">
                  <c:v>-15.933579999999978</c:v>
                </c:pt>
                <c:pt idx="192">
                  <c:v>-13.613579999999978</c:v>
                </c:pt>
                <c:pt idx="193">
                  <c:v>-11.613579999999978</c:v>
                </c:pt>
                <c:pt idx="194">
                  <c:v>-7.1335799999999772</c:v>
                </c:pt>
                <c:pt idx="195">
                  <c:v>-15.133579999999977</c:v>
                </c:pt>
                <c:pt idx="196">
                  <c:v>-19.133579999999977</c:v>
                </c:pt>
                <c:pt idx="197">
                  <c:v>-21.133579999999977</c:v>
                </c:pt>
                <c:pt idx="198">
                  <c:v>-19.013579999999976</c:v>
                </c:pt>
                <c:pt idx="199">
                  <c:v>-16.933579999999978</c:v>
                </c:pt>
                <c:pt idx="200">
                  <c:v>-14.173579999999978</c:v>
                </c:pt>
                <c:pt idx="201">
                  <c:v>-12.253579999999978</c:v>
                </c:pt>
                <c:pt idx="202">
                  <c:v>-9.4535799999999774</c:v>
                </c:pt>
                <c:pt idx="203">
                  <c:v>-2.6535799999999767</c:v>
                </c:pt>
                <c:pt idx="204">
                  <c:v>-6.6535799999999767</c:v>
                </c:pt>
                <c:pt idx="205">
                  <c:v>-4.2215799999999764</c:v>
                </c:pt>
                <c:pt idx="206">
                  <c:v>-8.2215799999999764</c:v>
                </c:pt>
                <c:pt idx="207">
                  <c:v>-6.2615799999999764</c:v>
                </c:pt>
                <c:pt idx="208">
                  <c:v>-3.6615799999999767</c:v>
                </c:pt>
                <c:pt idx="209">
                  <c:v>-0.22157999999997635</c:v>
                </c:pt>
                <c:pt idx="210">
                  <c:v>1.8584200000000237</c:v>
                </c:pt>
                <c:pt idx="211">
                  <c:v>4.218420000000024</c:v>
                </c:pt>
                <c:pt idx="212">
                  <c:v>5.8584200000000237</c:v>
                </c:pt>
                <c:pt idx="213">
                  <c:v>1.8584200000000237</c:v>
                </c:pt>
                <c:pt idx="214">
                  <c:v>-2.1415799999999763</c:v>
                </c:pt>
                <c:pt idx="215">
                  <c:v>-6.1415799999999763</c:v>
                </c:pt>
                <c:pt idx="216">
                  <c:v>-4.4935799999999766</c:v>
                </c:pt>
                <c:pt idx="217">
                  <c:v>-2.5935799999999762</c:v>
                </c:pt>
                <c:pt idx="218">
                  <c:v>-6.5935799999999762</c:v>
                </c:pt>
                <c:pt idx="219">
                  <c:v>-10.593579999999976</c:v>
                </c:pt>
                <c:pt idx="220">
                  <c:v>-8.7135799999999755</c:v>
                </c:pt>
                <c:pt idx="221">
                  <c:v>-12.713579999999975</c:v>
                </c:pt>
                <c:pt idx="222">
                  <c:v>-9.9135799999999747</c:v>
                </c:pt>
                <c:pt idx="223">
                  <c:v>-13.913579999999975</c:v>
                </c:pt>
                <c:pt idx="224">
                  <c:v>-8.7935799999999755</c:v>
                </c:pt>
                <c:pt idx="225">
                  <c:v>-4.9535799999999757</c:v>
                </c:pt>
                <c:pt idx="226">
                  <c:v>-1.7535799999999755</c:v>
                </c:pt>
                <c:pt idx="227">
                  <c:v>0.56642000000002479</c:v>
                </c:pt>
                <c:pt idx="228">
                  <c:v>2.3864200000000251</c:v>
                </c:pt>
                <c:pt idx="229">
                  <c:v>6.266420000000025</c:v>
                </c:pt>
                <c:pt idx="230">
                  <c:v>2.266420000000025</c:v>
                </c:pt>
                <c:pt idx="231">
                  <c:v>-1.733579999999975</c:v>
                </c:pt>
                <c:pt idx="232">
                  <c:v>3.8264200000000255</c:v>
                </c:pt>
                <c:pt idx="233">
                  <c:v>-0.17357999999997453</c:v>
                </c:pt>
                <c:pt idx="234">
                  <c:v>-4.1735799999999745</c:v>
                </c:pt>
                <c:pt idx="235">
                  <c:v>-8.1735799999999745</c:v>
                </c:pt>
                <c:pt idx="236">
                  <c:v>-12.173579999999975</c:v>
                </c:pt>
                <c:pt idx="237">
                  <c:v>-10.053579999999975</c:v>
                </c:pt>
                <c:pt idx="238">
                  <c:v>-14.053579999999975</c:v>
                </c:pt>
                <c:pt idx="239">
                  <c:v>-12.493579999999977</c:v>
                </c:pt>
                <c:pt idx="240">
                  <c:v>-16.493579999999977</c:v>
                </c:pt>
                <c:pt idx="241">
                  <c:v>-16.493579999999977</c:v>
                </c:pt>
                <c:pt idx="242">
                  <c:v>-17.003579999999978</c:v>
                </c:pt>
                <c:pt idx="243">
                  <c:v>-17.003579999999978</c:v>
                </c:pt>
                <c:pt idx="244">
                  <c:v>-21.003579999999978</c:v>
                </c:pt>
                <c:pt idx="245">
                  <c:v>-21.003579999999978</c:v>
                </c:pt>
                <c:pt idx="246">
                  <c:v>-21.003579999999978</c:v>
                </c:pt>
              </c:numCache>
            </c:numRef>
          </c:val>
          <c:smooth val="0"/>
          <c:extLst>
            <c:ext xmlns:c16="http://schemas.microsoft.com/office/drawing/2014/chart" uri="{C3380CC4-5D6E-409C-BE32-E72D297353CC}">
              <c16:uniqueId val="{00000000-6479-4E02-BA0F-355B9C21A7B3}"/>
            </c:ext>
          </c:extLst>
        </c:ser>
        <c:dLbls>
          <c:showLegendKey val="0"/>
          <c:showVal val="0"/>
          <c:showCatName val="0"/>
          <c:showSerName val="0"/>
          <c:showPercent val="0"/>
          <c:showBubbleSize val="0"/>
        </c:dLbls>
        <c:smooth val="0"/>
        <c:axId val="294591352"/>
        <c:axId val="294594304"/>
      </c:lineChart>
      <c:catAx>
        <c:axId val="294591352"/>
        <c:scaling>
          <c:orientation val="minMax"/>
        </c:scaling>
        <c:delete val="0"/>
        <c:axPos val="b"/>
        <c:numFmt formatCode="[$-816]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4304"/>
        <c:crosses val="autoZero"/>
        <c:auto val="0"/>
        <c:lblAlgn val="ctr"/>
        <c:lblOffset val="100"/>
        <c:tickLblSkip val="50"/>
        <c:tickMarkSkip val="7"/>
        <c:noMultiLvlLbl val="0"/>
      </c:catAx>
      <c:valAx>
        <c:axId val="294594304"/>
        <c:scaling>
          <c:orientation val="minMax"/>
          <c:min val="-60"/>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1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7.svg"/><Relationship Id="rId18" Type="http://schemas.openxmlformats.org/officeDocument/2006/relationships/image" Target="../media/image12.pn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emf"/><Relationship Id="rId15" Type="http://schemas.openxmlformats.org/officeDocument/2006/relationships/image" Target="../media/image9.svg"/><Relationship Id="rId10" Type="http://schemas.openxmlformats.org/officeDocument/2006/relationships/image" Target="../media/image4.png"/><Relationship Id="rId19" Type="http://schemas.openxmlformats.org/officeDocument/2006/relationships/image" Target="../media/image13.svg"/><Relationship Id="rId4" Type="http://schemas.openxmlformats.org/officeDocument/2006/relationships/image" Target="../media/image2.emf"/><Relationship Id="rId9" Type="http://schemas.openxmlformats.org/officeDocument/2006/relationships/chart" Target="../charts/chart6.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6.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26.emf"/><Relationship Id="rId7" Type="http://schemas.openxmlformats.org/officeDocument/2006/relationships/image" Target="../media/image22.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3.emf"/><Relationship Id="rId5" Type="http://schemas.openxmlformats.org/officeDocument/2006/relationships/image" Target="../media/image24.emf"/><Relationship Id="rId4"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290869</xdr:colOff>
      <xdr:row>65</xdr:row>
      <xdr:rowOff>78225</xdr:rowOff>
    </xdr:to>
    <xdr:grpSp>
      <xdr:nvGrpSpPr>
        <xdr:cNvPr id="89" name="Background">
          <a:extLst>
            <a:ext uri="{FF2B5EF4-FFF2-40B4-BE49-F238E27FC236}">
              <a16:creationId xmlns:a16="http://schemas.microsoft.com/office/drawing/2014/main" id="{00000000-0008-0000-0000-000059000000}"/>
            </a:ext>
          </a:extLst>
        </xdr:cNvPr>
        <xdr:cNvGrpSpPr/>
      </xdr:nvGrpSpPr>
      <xdr:grpSpPr>
        <a:xfrm>
          <a:off x="0" y="0"/>
          <a:ext cx="17816869" cy="11841600"/>
          <a:chOff x="0" y="0"/>
          <a:chExt cx="17816869" cy="11841600"/>
        </a:xfrm>
      </xdr:grpSpPr>
      <xdr:pic>
        <xdr:nvPicPr>
          <xdr:cNvPr id="14" name="Background" descr="The Emergence Of Sports Betting">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762400" cy="11841600"/>
          </a:xfrm>
          <a:prstGeom prst="rect">
            <a:avLst/>
          </a:prstGeom>
          <a:solidFill>
            <a:schemeClr val="accent5"/>
          </a:solidFill>
          <a:ln>
            <a:noFill/>
          </a:ln>
        </xdr:spPr>
      </xdr:pic>
      <xdr:sp macro="" textlink="Analysis!J21">
        <xdr:nvSpPr>
          <xdr:cNvPr id="42" name="Year">
            <a:extLst>
              <a:ext uri="{FF2B5EF4-FFF2-40B4-BE49-F238E27FC236}">
                <a16:creationId xmlns:a16="http://schemas.microsoft.com/office/drawing/2014/main" id="{00000000-0008-0000-0000-00002A000000}"/>
              </a:ext>
            </a:extLst>
          </xdr:cNvPr>
          <xdr:cNvSpPr txBox="1"/>
        </xdr:nvSpPr>
        <xdr:spPr>
          <a:xfrm>
            <a:off x="7508549" y="6512980"/>
            <a:ext cx="2745303" cy="8805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9433ED5-1EC9-4DFE-8977-AA0DC0C55B97}" type="TxLink">
              <a:rPr lang="en-US" sz="4000" b="1" i="0" u="none" strike="noStrike">
                <a:solidFill>
                  <a:schemeClr val="accent6">
                    <a:alpha val="85000"/>
                  </a:schemeClr>
                </a:solidFill>
                <a:effectLst>
                  <a:glow rad="63500">
                    <a:schemeClr val="tx1">
                      <a:alpha val="67000"/>
                    </a:schemeClr>
                  </a:glow>
                </a:effectLst>
                <a:latin typeface="Lucida Sans Unicode"/>
                <a:cs typeface="Lucida Sans Unicode"/>
              </a:rPr>
              <a:pPr/>
              <a:t>Year 2022</a:t>
            </a:fld>
            <a:endParaRPr lang="pt-PT" sz="4000" b="1">
              <a:solidFill>
                <a:schemeClr val="accent6">
                  <a:alpha val="85000"/>
                </a:schemeClr>
              </a:solidFill>
              <a:effectLst>
                <a:glow rad="63500">
                  <a:schemeClr val="tx1">
                    <a:alpha val="67000"/>
                  </a:schemeClr>
                </a:glow>
              </a:effectLst>
            </a:endParaRPr>
          </a:p>
        </xdr:txBody>
      </xdr:sp>
      <xdr:sp macro="" textlink="Analysis!J21">
        <xdr:nvSpPr>
          <xdr:cNvPr id="47" name="Made by">
            <a:extLst>
              <a:ext uri="{FF2B5EF4-FFF2-40B4-BE49-F238E27FC236}">
                <a16:creationId xmlns:a16="http://schemas.microsoft.com/office/drawing/2014/main" id="{00000000-0008-0000-0000-00002F000000}"/>
              </a:ext>
            </a:extLst>
          </xdr:cNvPr>
          <xdr:cNvSpPr txBox="1"/>
        </xdr:nvSpPr>
        <xdr:spPr>
          <a:xfrm>
            <a:off x="16525875" y="7058025"/>
            <a:ext cx="1290994"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u="none" strike="noStrike">
                <a:solidFill>
                  <a:schemeClr val="accent6">
                    <a:alpha val="75000"/>
                  </a:schemeClr>
                </a:solidFill>
                <a:effectLst>
                  <a:glow rad="63500">
                    <a:schemeClr val="tx1">
                      <a:alpha val="67000"/>
                    </a:schemeClr>
                  </a:glow>
                </a:effectLst>
                <a:latin typeface="Lucida Sans Unicode"/>
                <a:cs typeface="Lucida Sans Unicode"/>
              </a:rPr>
              <a:t>Made by</a:t>
            </a:r>
            <a:r>
              <a:rPr lang="en-US" sz="1200" b="1" i="0" u="none" strike="noStrike" baseline="0">
                <a:solidFill>
                  <a:schemeClr val="accent6">
                    <a:alpha val="75000"/>
                  </a:schemeClr>
                </a:solidFill>
                <a:effectLst>
                  <a:glow rad="63500">
                    <a:schemeClr val="tx1">
                      <a:alpha val="67000"/>
                    </a:schemeClr>
                  </a:glow>
                </a:effectLst>
                <a:latin typeface="Lucida Sans Unicode"/>
                <a:cs typeface="Lucida Sans Unicode"/>
              </a:rPr>
              <a:t> Djoze</a:t>
            </a:r>
            <a:endParaRPr lang="pt-PT" sz="1200" b="1">
              <a:solidFill>
                <a:schemeClr val="accent6">
                  <a:alpha val="75000"/>
                </a:schemeClr>
              </a:solidFill>
              <a:effectLst>
                <a:glow rad="63500">
                  <a:schemeClr val="tx1">
                    <a:alpha val="67000"/>
                  </a:schemeClr>
                </a:glow>
              </a:effectLst>
            </a:endParaRPr>
          </a:p>
        </xdr:txBody>
      </xdr:sp>
    </xdr:grpSp>
    <xdr:clientData/>
  </xdr:twoCellAnchor>
  <xdr:twoCellAnchor>
    <xdr:from>
      <xdr:col>18</xdr:col>
      <xdr:colOff>104776</xdr:colOff>
      <xdr:row>20</xdr:row>
      <xdr:rowOff>142875</xdr:rowOff>
    </xdr:from>
    <xdr:to>
      <xdr:col>23</xdr:col>
      <xdr:colOff>195872</xdr:colOff>
      <xdr:row>39</xdr:row>
      <xdr:rowOff>58340</xdr:rowOff>
    </xdr:to>
    <xdr:grpSp>
      <xdr:nvGrpSpPr>
        <xdr:cNvPr id="100" name="Slicers">
          <a:extLst>
            <a:ext uri="{FF2B5EF4-FFF2-40B4-BE49-F238E27FC236}">
              <a16:creationId xmlns:a16="http://schemas.microsoft.com/office/drawing/2014/main" id="{00000000-0008-0000-0000-000064000000}"/>
            </a:ext>
          </a:extLst>
        </xdr:cNvPr>
        <xdr:cNvGrpSpPr/>
      </xdr:nvGrpSpPr>
      <xdr:grpSpPr>
        <a:xfrm>
          <a:off x="13820776" y="3762375"/>
          <a:ext cx="3901096" cy="3353990"/>
          <a:chOff x="13820776" y="3762375"/>
          <a:chExt cx="3901096" cy="3353990"/>
        </a:xfrm>
      </xdr:grpSpPr>
      <mc:AlternateContent xmlns:mc="http://schemas.openxmlformats.org/markup-compatibility/2006" xmlns:a14="http://schemas.microsoft.com/office/drawing/2010/main">
        <mc:Choice Requires="a14">
          <xdr:graphicFrame macro="">
            <xdr:nvGraphicFramePr>
              <xdr:cNvPr id="10" name="Tipster">
                <a:extLst>
                  <a:ext uri="{FF2B5EF4-FFF2-40B4-BE49-F238E27FC236}">
                    <a16:creationId xmlns:a16="http://schemas.microsoft.com/office/drawing/2014/main" id="{00000000-0008-0000-0000-00000A000000}"/>
                  </a:ext>
                </a:extLst>
              </xdr:cNvPr>
              <xdr:cNvGraphicFramePr/>
            </xdr:nvGraphicFramePr>
            <xdr:xfrm>
              <a:off x="13833872" y="6462713"/>
              <a:ext cx="3888000" cy="653652"/>
            </xdr:xfrm>
            <a:graphic>
              <a:graphicData uri="http://schemas.microsoft.com/office/drawing/2010/slicer">
                <sle:slicer xmlns:sle="http://schemas.microsoft.com/office/drawing/2010/slicer" name="Tipster"/>
              </a:graphicData>
            </a:graphic>
          </xdr:graphicFrame>
        </mc:Choice>
        <mc:Fallback xmlns="">
          <xdr:sp macro="" textlink="">
            <xdr:nvSpPr>
              <xdr:cNvPr id="0" name=""/>
              <xdr:cNvSpPr>
                <a:spLocks noTextEdit="1"/>
              </xdr:cNvSpPr>
            </xdr:nvSpPr>
            <xdr:spPr>
              <a:xfrm>
                <a:off x="13833872" y="6462713"/>
                <a:ext cx="3888000" cy="653652"/>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Bet Type">
                <a:extLst>
                  <a:ext uri="{FF2B5EF4-FFF2-40B4-BE49-F238E27FC236}">
                    <a16:creationId xmlns:a16="http://schemas.microsoft.com/office/drawing/2014/main" id="{00000000-0008-0000-0000-00000B000000}"/>
                  </a:ext>
                </a:extLst>
              </xdr:cNvPr>
              <xdr:cNvGraphicFramePr/>
            </xdr:nvGraphicFramePr>
            <xdr:xfrm>
              <a:off x="13830300" y="5125474"/>
              <a:ext cx="3886200" cy="1244370"/>
            </xdr:xfrm>
            <a:graphic>
              <a:graphicData uri="http://schemas.microsoft.com/office/drawing/2010/slicer">
                <sle:slicer xmlns:sle="http://schemas.microsoft.com/office/drawing/2010/slicer" name="Bet Type"/>
              </a:graphicData>
            </a:graphic>
          </xdr:graphicFrame>
        </mc:Choice>
        <mc:Fallback xmlns="">
          <xdr:sp macro="" textlink="">
            <xdr:nvSpPr>
              <xdr:cNvPr id="0" name=""/>
              <xdr:cNvSpPr>
                <a:spLocks noTextEdit="1"/>
              </xdr:cNvSpPr>
            </xdr:nvSpPr>
            <xdr:spPr>
              <a:xfrm>
                <a:off x="13830300" y="5125474"/>
                <a:ext cx="3886200" cy="124437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8" name="Sport">
                <a:extLst>
                  <a:ext uri="{FF2B5EF4-FFF2-40B4-BE49-F238E27FC236}">
                    <a16:creationId xmlns:a16="http://schemas.microsoft.com/office/drawing/2014/main" id="{00000000-0008-0000-0000-000062000000}"/>
                  </a:ext>
                </a:extLst>
              </xdr:cNvPr>
              <xdr:cNvGraphicFramePr/>
            </xdr:nvGraphicFramePr>
            <xdr:xfrm>
              <a:off x="15249526" y="3762375"/>
              <a:ext cx="2466974" cy="126720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15249526" y="3762375"/>
                <a:ext cx="2466974" cy="126720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Months">
                <a:extLst>
                  <a:ext uri="{FF2B5EF4-FFF2-40B4-BE49-F238E27FC236}">
                    <a16:creationId xmlns:a16="http://schemas.microsoft.com/office/drawing/2014/main" id="{00000000-0008-0000-0000-000061000000}"/>
                  </a:ext>
                </a:extLst>
              </xdr:cNvPr>
              <xdr:cNvGraphicFramePr/>
            </xdr:nvGraphicFramePr>
            <xdr:xfrm>
              <a:off x="13820776" y="3762375"/>
              <a:ext cx="1371600" cy="1266826"/>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820776" y="3762375"/>
                <a:ext cx="1371600" cy="1266826"/>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396290</xdr:colOff>
      <xdr:row>20</xdr:row>
      <xdr:rowOff>137452</xdr:rowOff>
    </xdr:from>
    <xdr:to>
      <xdr:col>18</xdr:col>
      <xdr:colOff>48290</xdr:colOff>
      <xdr:row>36</xdr:row>
      <xdr:rowOff>53340</xdr:rowOff>
    </xdr:to>
    <xdr:grpSp>
      <xdr:nvGrpSpPr>
        <xdr:cNvPr id="99" name="Tipster">
          <a:extLst>
            <a:ext uri="{FF2B5EF4-FFF2-40B4-BE49-F238E27FC236}">
              <a16:creationId xmlns:a16="http://schemas.microsoft.com/office/drawing/2014/main" id="{00000000-0008-0000-0000-000063000000}"/>
            </a:ext>
          </a:extLst>
        </xdr:cNvPr>
        <xdr:cNvGrpSpPr/>
      </xdr:nvGrpSpPr>
      <xdr:grpSpPr>
        <a:xfrm>
          <a:off x="11064290" y="3756952"/>
          <a:ext cx="2700000" cy="2811488"/>
          <a:chOff x="11064290" y="3756952"/>
          <a:chExt cx="2700000" cy="2811488"/>
        </a:xfrm>
      </xdr:grpSpPr>
      <xdr:sp macro="" textlink="">
        <xdr:nvSpPr>
          <xdr:cNvPr id="65" name="Background Tipster">
            <a:extLst>
              <a:ext uri="{FF2B5EF4-FFF2-40B4-BE49-F238E27FC236}">
                <a16:creationId xmlns:a16="http://schemas.microsoft.com/office/drawing/2014/main" id="{00000000-0008-0000-0000-000041000000}"/>
              </a:ext>
            </a:extLst>
          </xdr:cNvPr>
          <xdr:cNvSpPr/>
        </xdr:nvSpPr>
        <xdr:spPr>
          <a:xfrm>
            <a:off x="11064290" y="3756952"/>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1" name="Tipster Chart">
            <a:extLst>
              <a:ext uri="{FF2B5EF4-FFF2-40B4-BE49-F238E27FC236}">
                <a16:creationId xmlns:a16="http://schemas.microsoft.com/office/drawing/2014/main" id="{00000000-0008-0000-0000-00003D000000}"/>
              </a:ext>
            </a:extLst>
          </xdr:cNvPr>
          <xdr:cNvGraphicFramePr>
            <a:graphicFrameLocks/>
          </xdr:cNvGraphicFramePr>
        </xdr:nvGraphicFramePr>
        <xdr:xfrm>
          <a:off x="11103492" y="3825240"/>
          <a:ext cx="2536308"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7" name="Title Tipster">
            <a:extLst>
              <a:ext uri="{FF2B5EF4-FFF2-40B4-BE49-F238E27FC236}">
                <a16:creationId xmlns:a16="http://schemas.microsoft.com/office/drawing/2014/main" id="{00000000-0008-0000-0000-000057000000}"/>
              </a:ext>
            </a:extLst>
          </xdr:cNvPr>
          <xdr:cNvSpPr txBox="1"/>
        </xdr:nvSpPr>
        <xdr:spPr>
          <a:xfrm>
            <a:off x="11218071"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Tipster</a:t>
            </a:r>
          </a:p>
        </xdr:txBody>
      </xdr:sp>
    </xdr:grpSp>
    <xdr:clientData/>
  </xdr:twoCellAnchor>
  <xdr:twoCellAnchor>
    <xdr:from>
      <xdr:col>7</xdr:col>
      <xdr:colOff>217655</xdr:colOff>
      <xdr:row>20</xdr:row>
      <xdr:rowOff>104775</xdr:rowOff>
    </xdr:from>
    <xdr:to>
      <xdr:col>14</xdr:col>
      <xdr:colOff>346710</xdr:colOff>
      <xdr:row>36</xdr:row>
      <xdr:rowOff>49416</xdr:rowOff>
    </xdr:to>
    <xdr:grpSp>
      <xdr:nvGrpSpPr>
        <xdr:cNvPr id="96" name="Bet Type">
          <a:extLst>
            <a:ext uri="{FF2B5EF4-FFF2-40B4-BE49-F238E27FC236}">
              <a16:creationId xmlns:a16="http://schemas.microsoft.com/office/drawing/2014/main" id="{00000000-0008-0000-0000-000060000000}"/>
            </a:ext>
          </a:extLst>
        </xdr:cNvPr>
        <xdr:cNvGrpSpPr/>
      </xdr:nvGrpSpPr>
      <xdr:grpSpPr>
        <a:xfrm>
          <a:off x="5551655" y="3724275"/>
          <a:ext cx="5463055" cy="2840241"/>
          <a:chOff x="5551655" y="3724275"/>
          <a:chExt cx="5463055" cy="2840241"/>
        </a:xfrm>
      </xdr:grpSpPr>
      <xdr:sp macro="" textlink="">
        <xdr:nvSpPr>
          <xdr:cNvPr id="24" name="Background Bet Type">
            <a:extLst>
              <a:ext uri="{FF2B5EF4-FFF2-40B4-BE49-F238E27FC236}">
                <a16:creationId xmlns:a16="http://schemas.microsoft.com/office/drawing/2014/main" id="{00000000-0008-0000-0000-000018000000}"/>
              </a:ext>
            </a:extLst>
          </xdr:cNvPr>
          <xdr:cNvSpPr/>
        </xdr:nvSpPr>
        <xdr:spPr>
          <a:xfrm>
            <a:off x="5551655" y="3754639"/>
            <a:ext cx="5463055" cy="2809877"/>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8" name="Bet Type Chart">
            <a:extLst>
              <a:ext uri="{FF2B5EF4-FFF2-40B4-BE49-F238E27FC236}">
                <a16:creationId xmlns:a16="http://schemas.microsoft.com/office/drawing/2014/main" id="{00000000-0008-0000-0000-000026000000}"/>
              </a:ext>
            </a:extLst>
          </xdr:cNvPr>
          <xdr:cNvGraphicFramePr>
            <a:graphicFrameLocks/>
          </xdr:cNvGraphicFramePr>
        </xdr:nvGraphicFramePr>
        <xdr:xfrm>
          <a:off x="5591174" y="3724275"/>
          <a:ext cx="5340595"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6" name="Title Bet Type">
            <a:extLst>
              <a:ext uri="{FF2B5EF4-FFF2-40B4-BE49-F238E27FC236}">
                <a16:creationId xmlns:a16="http://schemas.microsoft.com/office/drawing/2014/main" id="{00000000-0008-0000-0000-000056000000}"/>
              </a:ext>
            </a:extLst>
          </xdr:cNvPr>
          <xdr:cNvSpPr txBox="1"/>
        </xdr:nvSpPr>
        <xdr:spPr>
          <a:xfrm>
            <a:off x="5705480"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Bet Type</a:t>
            </a:r>
          </a:p>
        </xdr:txBody>
      </xdr:sp>
    </xdr:grpSp>
    <xdr:clientData/>
  </xdr:twoCellAnchor>
  <xdr:twoCellAnchor>
    <xdr:from>
      <xdr:col>0</xdr:col>
      <xdr:colOff>104775</xdr:colOff>
      <xdr:row>20</xdr:row>
      <xdr:rowOff>133350</xdr:rowOff>
    </xdr:from>
    <xdr:to>
      <xdr:col>7</xdr:col>
      <xdr:colOff>161925</xdr:colOff>
      <xdr:row>36</xdr:row>
      <xdr:rowOff>47625</xdr:rowOff>
    </xdr:to>
    <xdr:grpSp>
      <xdr:nvGrpSpPr>
        <xdr:cNvPr id="48" name="Last 7 Days Stats">
          <a:extLst>
            <a:ext uri="{FF2B5EF4-FFF2-40B4-BE49-F238E27FC236}">
              <a16:creationId xmlns:a16="http://schemas.microsoft.com/office/drawing/2014/main" id="{00000000-0008-0000-0000-000030000000}"/>
            </a:ext>
          </a:extLst>
        </xdr:cNvPr>
        <xdr:cNvGrpSpPr/>
      </xdr:nvGrpSpPr>
      <xdr:grpSpPr>
        <a:xfrm>
          <a:off x="104775" y="3752850"/>
          <a:ext cx="5391150" cy="2809875"/>
          <a:chOff x="104775" y="3752850"/>
          <a:chExt cx="5391150" cy="2809875"/>
        </a:xfrm>
      </xdr:grpSpPr>
      <xdr:sp macro="" textlink="">
        <xdr:nvSpPr>
          <xdr:cNvPr id="7" name="Background Last 7 Days">
            <a:extLst>
              <a:ext uri="{FF2B5EF4-FFF2-40B4-BE49-F238E27FC236}">
                <a16:creationId xmlns:a16="http://schemas.microsoft.com/office/drawing/2014/main" id="{00000000-0008-0000-0000-000007000000}"/>
              </a:ext>
            </a:extLst>
          </xdr:cNvPr>
          <xdr:cNvSpPr/>
        </xdr:nvSpPr>
        <xdr:spPr>
          <a:xfrm>
            <a:off x="104775" y="3752850"/>
            <a:ext cx="539115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mc:AlternateContent xmlns:mc="http://schemas.openxmlformats.org/markup-compatibility/2006" xmlns:a14="http://schemas.microsoft.com/office/drawing/2010/main">
        <mc:Choice Requires="a14">
          <xdr:pic>
            <xdr:nvPicPr>
              <xdr:cNvPr id="37" name="Last 7 Days">
                <a:extLst>
                  <a:ext uri="{FF2B5EF4-FFF2-40B4-BE49-F238E27FC236}">
                    <a16:creationId xmlns:a16="http://schemas.microsoft.com/office/drawing/2014/main" id="{00000000-0008-0000-0000-000025000000}"/>
                  </a:ext>
                </a:extLst>
              </xdr:cNvPr>
              <xdr:cNvPicPr>
                <a:picLocks noChangeAspect="1" noChangeArrowheads="1"/>
                <a:extLst>
                  <a:ext uri="{84589F7E-364E-4C9E-8A38-B11213B215E9}">
                    <a14:cameraTool cellRange="Analysis!$Q$3:$S$11" spid="_x0000_s10670"/>
                  </a:ext>
                </a:extLst>
              </xdr:cNvPicPr>
            </xdr:nvPicPr>
            <xdr:blipFill>
              <a:blip xmlns:r="http://schemas.openxmlformats.org/officeDocument/2006/relationships" r:embed="rId4"/>
              <a:srcRect/>
              <a:stretch>
                <a:fillRect/>
              </a:stretch>
            </xdr:blipFill>
            <xdr:spPr bwMode="auto">
              <a:xfrm>
                <a:off x="762000" y="4105275"/>
                <a:ext cx="3867150" cy="229552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8" name="Title Last 7 Days">
            <a:extLst>
              <a:ext uri="{FF2B5EF4-FFF2-40B4-BE49-F238E27FC236}">
                <a16:creationId xmlns:a16="http://schemas.microsoft.com/office/drawing/2014/main" id="{00000000-0008-0000-0000-000008000000}"/>
              </a:ext>
            </a:extLst>
          </xdr:cNvPr>
          <xdr:cNvSpPr txBox="1"/>
        </xdr:nvSpPr>
        <xdr:spPr>
          <a:xfrm>
            <a:off x="254795" y="3874294"/>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Last 7 Days</a:t>
            </a:r>
          </a:p>
        </xdr:txBody>
      </xdr:sp>
    </xdr:grpSp>
    <xdr:clientData/>
  </xdr:twoCellAnchor>
  <xdr:twoCellAnchor>
    <xdr:from>
      <xdr:col>21</xdr:col>
      <xdr:colOff>495299</xdr:colOff>
      <xdr:row>12</xdr:row>
      <xdr:rowOff>149719</xdr:rowOff>
    </xdr:from>
    <xdr:to>
      <xdr:col>23</xdr:col>
      <xdr:colOff>184110</xdr:colOff>
      <xdr:row>20</xdr:row>
      <xdr:rowOff>69919</xdr:rowOff>
    </xdr:to>
    <xdr:grpSp>
      <xdr:nvGrpSpPr>
        <xdr:cNvPr id="88" name="Largest">
          <a:extLst>
            <a:ext uri="{FF2B5EF4-FFF2-40B4-BE49-F238E27FC236}">
              <a16:creationId xmlns:a16="http://schemas.microsoft.com/office/drawing/2014/main" id="{00000000-0008-0000-0000-000058000000}"/>
            </a:ext>
          </a:extLst>
        </xdr:cNvPr>
        <xdr:cNvGrpSpPr/>
      </xdr:nvGrpSpPr>
      <xdr:grpSpPr>
        <a:xfrm>
          <a:off x="16497299" y="2321419"/>
          <a:ext cx="1212811" cy="1368000"/>
          <a:chOff x="16497299" y="2321419"/>
          <a:chExt cx="1212811" cy="1368000"/>
        </a:xfrm>
      </xdr:grpSpPr>
      <xdr:sp macro="" textlink="">
        <xdr:nvSpPr>
          <xdr:cNvPr id="74" name="Largest Background">
            <a:extLst>
              <a:ext uri="{FF2B5EF4-FFF2-40B4-BE49-F238E27FC236}">
                <a16:creationId xmlns:a16="http://schemas.microsoft.com/office/drawing/2014/main" id="{00000000-0008-0000-0000-00004A000000}"/>
              </a:ext>
            </a:extLst>
          </xdr:cNvPr>
          <xdr:cNvSpPr/>
        </xdr:nvSpPr>
        <xdr:spPr>
          <a:xfrm>
            <a:off x="16497299" y="2321419"/>
            <a:ext cx="1209675" cy="1368000"/>
          </a:xfrm>
          <a:prstGeom prst="roundRect">
            <a:avLst>
              <a:gd name="adj" fmla="val 11575"/>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pSp>
        <xdr:nvGrpSpPr>
          <xdr:cNvPr id="80" name="Largest Win">
            <a:extLst>
              <a:ext uri="{FF2B5EF4-FFF2-40B4-BE49-F238E27FC236}">
                <a16:creationId xmlns:a16="http://schemas.microsoft.com/office/drawing/2014/main" id="{00000000-0008-0000-0000-000050000000}"/>
              </a:ext>
            </a:extLst>
          </xdr:cNvPr>
          <xdr:cNvGrpSpPr/>
        </xdr:nvGrpSpPr>
        <xdr:grpSpPr>
          <a:xfrm>
            <a:off x="16525875" y="2351165"/>
            <a:ext cx="1184235" cy="642522"/>
            <a:chOff x="16525875" y="2351165"/>
            <a:chExt cx="1184235" cy="642522"/>
          </a:xfrm>
        </xdr:grpSpPr>
        <xdr:sp macro="[0]!LargestWin_Click" textlink="">
          <xdr:nvSpPr>
            <xdr:cNvPr id="69" name="Text Largest Win">
              <a:extLst>
                <a:ext uri="{FF2B5EF4-FFF2-40B4-BE49-F238E27FC236}">
                  <a16:creationId xmlns:a16="http://schemas.microsoft.com/office/drawing/2014/main" id="{00000000-0008-0000-0000-000045000000}"/>
                </a:ext>
              </a:extLst>
            </xdr:cNvPr>
            <xdr:cNvSpPr txBox="1"/>
          </xdr:nvSpPr>
          <xdr:spPr>
            <a:xfrm>
              <a:off x="16525875" y="2351165"/>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Win</a:t>
              </a:r>
              <a:endParaRPr lang="pt-PT" sz="1100" b="1">
                <a:solidFill>
                  <a:schemeClr val="accent5"/>
                </a:solidFill>
              </a:endParaRPr>
            </a:p>
          </xdr:txBody>
        </xdr:sp>
        <xdr:sp macro="[0]!LargestWin_Click" textlink="Analysis!Z9">
          <xdr:nvSpPr>
            <xdr:cNvPr id="71" name="Value Largest Win">
              <a:extLst>
                <a:ext uri="{FF2B5EF4-FFF2-40B4-BE49-F238E27FC236}">
                  <a16:creationId xmlns:a16="http://schemas.microsoft.com/office/drawing/2014/main" id="{00000000-0008-0000-0000-000047000000}"/>
                </a:ext>
              </a:extLst>
            </xdr:cNvPr>
            <xdr:cNvSpPr txBox="1"/>
          </xdr:nvSpPr>
          <xdr:spPr>
            <a:xfrm>
              <a:off x="16802681" y="2684563"/>
              <a:ext cx="63062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7D4D74-398F-46FD-A6DF-052E45C51AB0}" type="TxLink">
                <a:rPr lang="en-US" sz="1100" b="0" i="0" u="none" strike="noStrike">
                  <a:solidFill>
                    <a:schemeClr val="accent3"/>
                  </a:solidFill>
                  <a:effectLst>
                    <a:glow rad="63500">
                      <a:schemeClr val="tx1">
                        <a:alpha val="67000"/>
                      </a:schemeClr>
                    </a:glow>
                  </a:effectLst>
                  <a:latin typeface="Lucida Sans Unicode"/>
                  <a:cs typeface="Lucida Sans Unicode"/>
                </a:rPr>
                <a:pPr/>
                <a:t>6,80 €</a:t>
              </a:fld>
              <a:endParaRPr lang="pt-PT" sz="1100">
                <a:solidFill>
                  <a:schemeClr val="accent3"/>
                </a:solidFill>
                <a:effectLst>
                  <a:glow rad="63500">
                    <a:schemeClr val="tx1">
                      <a:alpha val="67000"/>
                    </a:schemeClr>
                  </a:glow>
                </a:effectLst>
              </a:endParaRPr>
            </a:p>
          </xdr:txBody>
        </xdr:sp>
      </xdr:grpSp>
      <xdr:grpSp>
        <xdr:nvGrpSpPr>
          <xdr:cNvPr id="81" name="Largest Loss">
            <a:extLst>
              <a:ext uri="{FF2B5EF4-FFF2-40B4-BE49-F238E27FC236}">
                <a16:creationId xmlns:a16="http://schemas.microsoft.com/office/drawing/2014/main" id="{00000000-0008-0000-0000-000051000000}"/>
              </a:ext>
            </a:extLst>
          </xdr:cNvPr>
          <xdr:cNvGrpSpPr/>
        </xdr:nvGrpSpPr>
        <xdr:grpSpPr>
          <a:xfrm>
            <a:off x="16525875" y="3022284"/>
            <a:ext cx="1184235" cy="648980"/>
            <a:chOff x="16525875" y="3022284"/>
            <a:chExt cx="1184235" cy="648980"/>
          </a:xfrm>
        </xdr:grpSpPr>
        <xdr:sp macro="[0]!LargestLoss_Click" textlink="">
          <xdr:nvSpPr>
            <xdr:cNvPr id="70" name="Text Largest Loss">
              <a:extLst>
                <a:ext uri="{FF2B5EF4-FFF2-40B4-BE49-F238E27FC236}">
                  <a16:creationId xmlns:a16="http://schemas.microsoft.com/office/drawing/2014/main" id="{00000000-0008-0000-0000-000046000000}"/>
                </a:ext>
              </a:extLst>
            </xdr:cNvPr>
            <xdr:cNvSpPr txBox="1"/>
          </xdr:nvSpPr>
          <xdr:spPr>
            <a:xfrm>
              <a:off x="16525875" y="3022284"/>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Loss</a:t>
              </a:r>
              <a:endParaRPr lang="pt-PT" sz="1100" b="1">
                <a:solidFill>
                  <a:schemeClr val="accent5"/>
                </a:solidFill>
              </a:endParaRPr>
            </a:p>
          </xdr:txBody>
        </xdr:sp>
        <xdr:sp macro="[0]!LargestLoss_Click" textlink="Analysis!Z10">
          <xdr:nvSpPr>
            <xdr:cNvPr id="72" name="Value Largest Loss">
              <a:extLst>
                <a:ext uri="{FF2B5EF4-FFF2-40B4-BE49-F238E27FC236}">
                  <a16:creationId xmlns:a16="http://schemas.microsoft.com/office/drawing/2014/main" id="{00000000-0008-0000-0000-000048000000}"/>
                </a:ext>
              </a:extLst>
            </xdr:cNvPr>
            <xdr:cNvSpPr txBox="1"/>
          </xdr:nvSpPr>
          <xdr:spPr>
            <a:xfrm>
              <a:off x="16761869" y="3362140"/>
              <a:ext cx="712246"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3641C5-59C8-4F2B-920F-6D83107C5542}" type="TxLink">
                <a:rPr lang="en-US" sz="1100" b="0" i="0" u="none" strike="noStrike">
                  <a:solidFill>
                    <a:schemeClr val="accent2"/>
                  </a:solidFill>
                  <a:effectLst>
                    <a:glow rad="63500">
                      <a:schemeClr val="tx1">
                        <a:alpha val="67000"/>
                      </a:schemeClr>
                    </a:glow>
                  </a:effectLst>
                  <a:latin typeface="Lucida Sans Unicode"/>
                  <a:cs typeface="Lucida Sans Unicode"/>
                </a:rPr>
                <a:pPr/>
                <a:t>-9,07 €</a:t>
              </a:fld>
              <a:endParaRPr lang="pt-PT" sz="1100">
                <a:solidFill>
                  <a:schemeClr val="accent2"/>
                </a:solidFill>
                <a:effectLst>
                  <a:glow rad="63500">
                    <a:schemeClr val="tx1">
                      <a:alpha val="67000"/>
                    </a:schemeClr>
                  </a:glow>
                </a:effectLst>
              </a:endParaRPr>
            </a:p>
          </xdr:txBody>
        </xdr:sp>
      </xdr:grpSp>
    </xdr:grpSp>
    <xdr:clientData/>
  </xdr:twoCellAnchor>
  <xdr:twoCellAnchor>
    <xdr:from>
      <xdr:col>21</xdr:col>
      <xdr:colOff>476250</xdr:colOff>
      <xdr:row>4</xdr:row>
      <xdr:rowOff>160332</xdr:rowOff>
    </xdr:from>
    <xdr:to>
      <xdr:col>23</xdr:col>
      <xdr:colOff>209549</xdr:colOff>
      <xdr:row>12</xdr:row>
      <xdr:rowOff>63071</xdr:rowOff>
    </xdr:to>
    <xdr:grpSp>
      <xdr:nvGrpSpPr>
        <xdr:cNvPr id="51" name="Average Odds">
          <a:extLst>
            <a:ext uri="{FF2B5EF4-FFF2-40B4-BE49-F238E27FC236}">
              <a16:creationId xmlns:a16="http://schemas.microsoft.com/office/drawing/2014/main" id="{00000000-0008-0000-0000-000033000000}"/>
            </a:ext>
          </a:extLst>
        </xdr:cNvPr>
        <xdr:cNvGrpSpPr/>
      </xdr:nvGrpSpPr>
      <xdr:grpSpPr>
        <a:xfrm>
          <a:off x="16478250" y="884232"/>
          <a:ext cx="1257299" cy="1350539"/>
          <a:chOff x="16525875" y="882015"/>
          <a:chExt cx="1184235" cy="1178894"/>
        </a:xfrm>
      </xdr:grpSpPr>
      <xdr:sp macro="" textlink="">
        <xdr:nvSpPr>
          <xdr:cNvPr id="41" name="Background Average Odds">
            <a:extLst>
              <a:ext uri="{FF2B5EF4-FFF2-40B4-BE49-F238E27FC236}">
                <a16:creationId xmlns:a16="http://schemas.microsoft.com/office/drawing/2014/main" id="{00000000-0008-0000-0000-000029000000}"/>
              </a:ext>
            </a:extLst>
          </xdr:cNvPr>
          <xdr:cNvSpPr/>
        </xdr:nvSpPr>
        <xdr:spPr>
          <a:xfrm>
            <a:off x="16543420" y="882015"/>
            <a:ext cx="1128305" cy="1178894"/>
          </a:xfrm>
          <a:prstGeom prst="roundRect">
            <a:avLst>
              <a:gd name="adj" fmla="val 9404"/>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b="1"/>
          </a:p>
        </xdr:txBody>
      </xdr:sp>
      <mc:AlternateContent xmlns:mc="http://schemas.openxmlformats.org/markup-compatibility/2006" xmlns:a14="http://schemas.microsoft.com/office/drawing/2010/main">
        <mc:Choice Requires="a14">
          <xdr:pic>
            <xdr:nvPicPr>
              <xdr:cNvPr id="39" name="Average Odds">
                <a:extLst>
                  <a:ext uri="{FF2B5EF4-FFF2-40B4-BE49-F238E27FC236}">
                    <a16:creationId xmlns:a16="http://schemas.microsoft.com/office/drawing/2014/main" id="{00000000-0008-0000-0000-000027000000}"/>
                  </a:ext>
                </a:extLst>
              </xdr:cNvPr>
              <xdr:cNvPicPr>
                <a:picLocks noChangeAspect="1" noChangeArrowheads="1"/>
                <a:extLst>
                  <a:ext uri="{84589F7E-364E-4C9E-8A38-B11213B215E9}">
                    <a14:cameraTool cellRange="Analysis!$AB$3:$AC$6" spid="_x0000_s10671"/>
                  </a:ext>
                </a:extLst>
              </xdr:cNvPicPr>
            </xdr:nvPicPr>
            <xdr:blipFill>
              <a:blip xmlns:r="http://schemas.openxmlformats.org/officeDocument/2006/relationships" r:embed="rId5"/>
              <a:srcRect/>
              <a:stretch>
                <a:fillRect/>
              </a:stretch>
            </xdr:blipFill>
            <xdr:spPr bwMode="auto">
              <a:xfrm>
                <a:off x="16758985" y="1311435"/>
                <a:ext cx="732014" cy="71437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49" name="Title Average Odds">
            <a:extLst>
              <a:ext uri="{FF2B5EF4-FFF2-40B4-BE49-F238E27FC236}">
                <a16:creationId xmlns:a16="http://schemas.microsoft.com/office/drawing/2014/main" id="{00000000-0008-0000-0000-000031000000}"/>
              </a:ext>
            </a:extLst>
          </xdr:cNvPr>
          <xdr:cNvSpPr txBox="1"/>
        </xdr:nvSpPr>
        <xdr:spPr>
          <a:xfrm>
            <a:off x="16525875" y="900030"/>
            <a:ext cx="118423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Average</a:t>
            </a:r>
          </a:p>
          <a:p>
            <a:pPr algn="ctr"/>
            <a:r>
              <a:rPr lang="pt-PT" sz="1100" b="1">
                <a:solidFill>
                  <a:schemeClr val="accent5"/>
                </a:solidFill>
              </a:rPr>
              <a:t>Odds</a:t>
            </a:r>
          </a:p>
        </xdr:txBody>
      </xdr:sp>
    </xdr:grpSp>
    <xdr:clientData/>
  </xdr:twoCellAnchor>
  <xdr:twoCellAnchor>
    <xdr:from>
      <xdr:col>14</xdr:col>
      <xdr:colOff>397392</xdr:colOff>
      <xdr:row>4</xdr:row>
      <xdr:rowOff>158115</xdr:rowOff>
    </xdr:from>
    <xdr:to>
      <xdr:col>21</xdr:col>
      <xdr:colOff>454542</xdr:colOff>
      <xdr:row>20</xdr:row>
      <xdr:rowOff>70485</xdr:rowOff>
    </xdr:to>
    <xdr:grpSp>
      <xdr:nvGrpSpPr>
        <xdr:cNvPr id="95" name="Sport">
          <a:extLst>
            <a:ext uri="{FF2B5EF4-FFF2-40B4-BE49-F238E27FC236}">
              <a16:creationId xmlns:a16="http://schemas.microsoft.com/office/drawing/2014/main" id="{00000000-0008-0000-0000-00005F000000}"/>
            </a:ext>
          </a:extLst>
        </xdr:cNvPr>
        <xdr:cNvGrpSpPr/>
      </xdr:nvGrpSpPr>
      <xdr:grpSpPr>
        <a:xfrm>
          <a:off x="11065392" y="882015"/>
          <a:ext cx="5391150" cy="2807970"/>
          <a:chOff x="11065392" y="882015"/>
          <a:chExt cx="5391150" cy="2807970"/>
        </a:xfrm>
      </xdr:grpSpPr>
      <xdr:sp macro="" textlink="">
        <xdr:nvSpPr>
          <xdr:cNvPr id="60" name="Background Sport Chart">
            <a:extLst>
              <a:ext uri="{FF2B5EF4-FFF2-40B4-BE49-F238E27FC236}">
                <a16:creationId xmlns:a16="http://schemas.microsoft.com/office/drawing/2014/main" id="{00000000-0008-0000-0000-00003C000000}"/>
              </a:ext>
            </a:extLst>
          </xdr:cNvPr>
          <xdr:cNvSpPr/>
        </xdr:nvSpPr>
        <xdr:spPr>
          <a:xfrm>
            <a:off x="11065392" y="882015"/>
            <a:ext cx="5391150" cy="2807970"/>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5" name="Sport Chart">
            <a:extLst>
              <a:ext uri="{FF2B5EF4-FFF2-40B4-BE49-F238E27FC236}">
                <a16:creationId xmlns:a16="http://schemas.microsoft.com/office/drawing/2014/main" id="{00000000-0008-0000-0000-000023000000}"/>
              </a:ext>
            </a:extLst>
          </xdr:cNvPr>
          <xdr:cNvGraphicFramePr>
            <a:graphicFrameLocks/>
          </xdr:cNvGraphicFramePr>
        </xdr:nvGraphicFramePr>
        <xdr:xfrm>
          <a:off x="11172825" y="914400"/>
          <a:ext cx="527685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5" name="Title Sport">
            <a:extLst>
              <a:ext uri="{FF2B5EF4-FFF2-40B4-BE49-F238E27FC236}">
                <a16:creationId xmlns:a16="http://schemas.microsoft.com/office/drawing/2014/main" id="{00000000-0008-0000-0000-000055000000}"/>
              </a:ext>
            </a:extLst>
          </xdr:cNvPr>
          <xdr:cNvSpPr txBox="1"/>
        </xdr:nvSpPr>
        <xdr:spPr>
          <a:xfrm>
            <a:off x="11218115" y="967711"/>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Sport</a:t>
            </a:r>
          </a:p>
        </xdr:txBody>
      </xdr:sp>
    </xdr:grpSp>
    <xdr:clientData/>
  </xdr:twoCellAnchor>
  <xdr:twoCellAnchor>
    <xdr:from>
      <xdr:col>10</xdr:col>
      <xdr:colOff>695326</xdr:colOff>
      <xdr:row>4</xdr:row>
      <xdr:rowOff>152400</xdr:rowOff>
    </xdr:from>
    <xdr:to>
      <xdr:col>14</xdr:col>
      <xdr:colOff>361950</xdr:colOff>
      <xdr:row>20</xdr:row>
      <xdr:rowOff>93889</xdr:rowOff>
    </xdr:to>
    <xdr:grpSp>
      <xdr:nvGrpSpPr>
        <xdr:cNvPr id="94" name="Live Betting">
          <a:extLst>
            <a:ext uri="{FF2B5EF4-FFF2-40B4-BE49-F238E27FC236}">
              <a16:creationId xmlns:a16="http://schemas.microsoft.com/office/drawing/2014/main" id="{00000000-0008-0000-0000-00005E000000}"/>
            </a:ext>
          </a:extLst>
        </xdr:cNvPr>
        <xdr:cNvGrpSpPr/>
      </xdr:nvGrpSpPr>
      <xdr:grpSpPr>
        <a:xfrm>
          <a:off x="8315326" y="876300"/>
          <a:ext cx="2714624" cy="2837089"/>
          <a:chOff x="8315326" y="876300"/>
          <a:chExt cx="2714624" cy="2837089"/>
        </a:xfrm>
      </xdr:grpSpPr>
      <xdr:sp macro="" textlink="">
        <xdr:nvSpPr>
          <xdr:cNvPr id="46" name="Background Live Betting">
            <a:extLst>
              <a:ext uri="{FF2B5EF4-FFF2-40B4-BE49-F238E27FC236}">
                <a16:creationId xmlns:a16="http://schemas.microsoft.com/office/drawing/2014/main" id="{00000000-0008-0000-0000-00002E000000}"/>
              </a:ext>
            </a:extLst>
          </xdr:cNvPr>
          <xdr:cNvSpPr/>
        </xdr:nvSpPr>
        <xdr:spPr>
          <a:xfrm>
            <a:off x="8315326" y="876300"/>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 name="Live Betting Chart">
            <a:extLst>
              <a:ext uri="{FF2B5EF4-FFF2-40B4-BE49-F238E27FC236}">
                <a16:creationId xmlns:a16="http://schemas.microsoft.com/office/drawing/2014/main" id="{00000000-0008-0000-0000-000006000000}"/>
              </a:ext>
            </a:extLst>
          </xdr:cNvPr>
          <xdr:cNvGraphicFramePr>
            <a:graphicFrameLocks/>
          </xdr:cNvGraphicFramePr>
        </xdr:nvGraphicFramePr>
        <xdr:xfrm>
          <a:off x="8324850" y="970189"/>
          <a:ext cx="2705100" cy="274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84" name="Title Live Betting">
            <a:extLst>
              <a:ext uri="{FF2B5EF4-FFF2-40B4-BE49-F238E27FC236}">
                <a16:creationId xmlns:a16="http://schemas.microsoft.com/office/drawing/2014/main" id="{00000000-0008-0000-0000-000054000000}"/>
              </a:ext>
            </a:extLst>
          </xdr:cNvPr>
          <xdr:cNvSpPr txBox="1"/>
        </xdr:nvSpPr>
        <xdr:spPr>
          <a:xfrm>
            <a:off x="8467731" y="969517"/>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Live</a:t>
            </a:r>
            <a:r>
              <a:rPr lang="pt-PT" sz="1100" b="1" baseline="0">
                <a:solidFill>
                  <a:schemeClr val="accent5"/>
                </a:solidFill>
              </a:rPr>
              <a:t> Betting</a:t>
            </a:r>
            <a:endParaRPr lang="pt-PT" sz="1100" b="1">
              <a:solidFill>
                <a:schemeClr val="accent5"/>
              </a:solidFill>
            </a:endParaRPr>
          </a:p>
        </xdr:txBody>
      </xdr:sp>
    </xdr:grpSp>
    <xdr:clientData/>
  </xdr:twoCellAnchor>
  <xdr:twoCellAnchor>
    <xdr:from>
      <xdr:col>7</xdr:col>
      <xdr:colOff>219075</xdr:colOff>
      <xdr:row>4</xdr:row>
      <xdr:rowOff>152400</xdr:rowOff>
    </xdr:from>
    <xdr:to>
      <xdr:col>10</xdr:col>
      <xdr:colOff>633075</xdr:colOff>
      <xdr:row>20</xdr:row>
      <xdr:rowOff>95250</xdr:rowOff>
    </xdr:to>
    <xdr:grpSp>
      <xdr:nvGrpSpPr>
        <xdr:cNvPr id="92" name="Win Rate">
          <a:extLst>
            <a:ext uri="{FF2B5EF4-FFF2-40B4-BE49-F238E27FC236}">
              <a16:creationId xmlns:a16="http://schemas.microsoft.com/office/drawing/2014/main" id="{00000000-0008-0000-0000-00005C000000}"/>
            </a:ext>
          </a:extLst>
        </xdr:cNvPr>
        <xdr:cNvGrpSpPr/>
      </xdr:nvGrpSpPr>
      <xdr:grpSpPr>
        <a:xfrm>
          <a:off x="5553075" y="876300"/>
          <a:ext cx="2700000" cy="2838450"/>
          <a:chOff x="5553075" y="876300"/>
          <a:chExt cx="2700000" cy="2838450"/>
        </a:xfrm>
      </xdr:grpSpPr>
      <xdr:sp macro="" textlink="">
        <xdr:nvSpPr>
          <xdr:cNvPr id="50" name="Background Win Rate">
            <a:extLst>
              <a:ext uri="{FF2B5EF4-FFF2-40B4-BE49-F238E27FC236}">
                <a16:creationId xmlns:a16="http://schemas.microsoft.com/office/drawing/2014/main" id="{00000000-0008-0000-0000-000032000000}"/>
              </a:ext>
            </a:extLst>
          </xdr:cNvPr>
          <xdr:cNvSpPr/>
        </xdr:nvSpPr>
        <xdr:spPr>
          <a:xfrm>
            <a:off x="5553075" y="876300"/>
            <a:ext cx="270000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9" name="Win Rate Chart">
            <a:extLst>
              <a:ext uri="{FF2B5EF4-FFF2-40B4-BE49-F238E27FC236}">
                <a16:creationId xmlns:a16="http://schemas.microsoft.com/office/drawing/2014/main" id="{00000000-0008-0000-0000-00001D000000}"/>
              </a:ext>
            </a:extLst>
          </xdr:cNvPr>
          <xdr:cNvGraphicFramePr>
            <a:graphicFrameLocks/>
          </xdr:cNvGraphicFramePr>
        </xdr:nvGraphicFramePr>
        <xdr:xfrm>
          <a:off x="5553075" y="971550"/>
          <a:ext cx="2686050"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3" name="Title Win Rate">
            <a:extLst>
              <a:ext uri="{FF2B5EF4-FFF2-40B4-BE49-F238E27FC236}">
                <a16:creationId xmlns:a16="http://schemas.microsoft.com/office/drawing/2014/main" id="{00000000-0008-0000-0000-000053000000}"/>
              </a:ext>
            </a:extLst>
          </xdr:cNvPr>
          <xdr:cNvSpPr txBox="1"/>
        </xdr:nvSpPr>
        <xdr:spPr>
          <a:xfrm>
            <a:off x="5705476" y="96952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Win Rate</a:t>
            </a:r>
          </a:p>
        </xdr:txBody>
      </xdr:sp>
    </xdr:grpSp>
    <xdr:clientData/>
  </xdr:twoCellAnchor>
  <xdr:twoCellAnchor>
    <xdr:from>
      <xdr:col>0</xdr:col>
      <xdr:colOff>102117</xdr:colOff>
      <xdr:row>4</xdr:row>
      <xdr:rowOff>158115</xdr:rowOff>
    </xdr:from>
    <xdr:to>
      <xdr:col>7</xdr:col>
      <xdr:colOff>219075</xdr:colOff>
      <xdr:row>20</xdr:row>
      <xdr:rowOff>70485</xdr:rowOff>
    </xdr:to>
    <xdr:grpSp>
      <xdr:nvGrpSpPr>
        <xdr:cNvPr id="91" name="Total Profit">
          <a:extLst>
            <a:ext uri="{FF2B5EF4-FFF2-40B4-BE49-F238E27FC236}">
              <a16:creationId xmlns:a16="http://schemas.microsoft.com/office/drawing/2014/main" id="{00000000-0008-0000-0000-00005B000000}"/>
            </a:ext>
          </a:extLst>
        </xdr:cNvPr>
        <xdr:cNvGrpSpPr/>
      </xdr:nvGrpSpPr>
      <xdr:grpSpPr>
        <a:xfrm>
          <a:off x="102117" y="882015"/>
          <a:ext cx="5450958" cy="2807970"/>
          <a:chOff x="102117" y="882015"/>
          <a:chExt cx="5450958" cy="2807970"/>
        </a:xfrm>
      </xdr:grpSpPr>
      <xdr:sp macro="" textlink="">
        <xdr:nvSpPr>
          <xdr:cNvPr id="12" name="Background Total Profit">
            <a:extLst>
              <a:ext uri="{FF2B5EF4-FFF2-40B4-BE49-F238E27FC236}">
                <a16:creationId xmlns:a16="http://schemas.microsoft.com/office/drawing/2014/main" id="{00000000-0008-0000-0000-00000C000000}"/>
              </a:ext>
            </a:extLst>
          </xdr:cNvPr>
          <xdr:cNvSpPr/>
        </xdr:nvSpPr>
        <xdr:spPr>
          <a:xfrm>
            <a:off x="102117" y="882015"/>
            <a:ext cx="5391150" cy="2807970"/>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 name="Total Profit Chart">
            <a:extLst>
              <a:ext uri="{FF2B5EF4-FFF2-40B4-BE49-F238E27FC236}">
                <a16:creationId xmlns:a16="http://schemas.microsoft.com/office/drawing/2014/main" id="{00000000-0008-0000-0000-000002000000}"/>
              </a:ext>
            </a:extLst>
          </xdr:cNvPr>
          <xdr:cNvGraphicFramePr>
            <a:graphicFrameLocks/>
          </xdr:cNvGraphicFramePr>
        </xdr:nvGraphicFramePr>
        <xdr:xfrm>
          <a:off x="133350" y="885825"/>
          <a:ext cx="5419725" cy="2743200"/>
        </xdr:xfrm>
        <a:graphic>
          <a:graphicData uri="http://schemas.openxmlformats.org/drawingml/2006/chart">
            <c:chart xmlns:c="http://schemas.openxmlformats.org/drawingml/2006/chart" xmlns:r="http://schemas.openxmlformats.org/officeDocument/2006/relationships" r:id="rId9"/>
          </a:graphicData>
        </a:graphic>
      </xdr:graphicFrame>
      <xdr:sp macro="[0]!LabelMyGraph" textlink="">
        <xdr:nvSpPr>
          <xdr:cNvPr id="59" name="Title Total Profit">
            <a:extLst>
              <a:ext uri="{FF2B5EF4-FFF2-40B4-BE49-F238E27FC236}">
                <a16:creationId xmlns:a16="http://schemas.microsoft.com/office/drawing/2014/main" id="{00000000-0008-0000-0000-00003B000000}"/>
              </a:ext>
            </a:extLst>
          </xdr:cNvPr>
          <xdr:cNvSpPr txBox="1"/>
        </xdr:nvSpPr>
        <xdr:spPr>
          <a:xfrm>
            <a:off x="266699" y="968205"/>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Total Profit</a:t>
            </a:r>
          </a:p>
        </xdr:txBody>
      </xdr:sp>
    </xdr:grpSp>
    <xdr:clientData/>
  </xdr:twoCellAnchor>
  <xdr:twoCellAnchor>
    <xdr:from>
      <xdr:col>0</xdr:col>
      <xdr:colOff>95251</xdr:colOff>
      <xdr:row>0</xdr:row>
      <xdr:rowOff>93889</xdr:rowOff>
    </xdr:from>
    <xdr:to>
      <xdr:col>23</xdr:col>
      <xdr:colOff>187937</xdr:colOff>
      <xdr:row>4</xdr:row>
      <xdr:rowOff>98213</xdr:rowOff>
    </xdr:to>
    <xdr:grpSp>
      <xdr:nvGrpSpPr>
        <xdr:cNvPr id="93" name="Header">
          <a:extLst>
            <a:ext uri="{FF2B5EF4-FFF2-40B4-BE49-F238E27FC236}">
              <a16:creationId xmlns:a16="http://schemas.microsoft.com/office/drawing/2014/main" id="{00000000-0008-0000-0000-00005D000000}"/>
            </a:ext>
          </a:extLst>
        </xdr:cNvPr>
        <xdr:cNvGrpSpPr/>
      </xdr:nvGrpSpPr>
      <xdr:grpSpPr>
        <a:xfrm>
          <a:off x="95251" y="93889"/>
          <a:ext cx="17618686" cy="728224"/>
          <a:chOff x="95251" y="93889"/>
          <a:chExt cx="17618686" cy="728224"/>
        </a:xfrm>
      </xdr:grpSpPr>
      <xdr:sp macro="" textlink="">
        <xdr:nvSpPr>
          <xdr:cNvPr id="15" name="Header Background">
            <a:extLst>
              <a:ext uri="{FF2B5EF4-FFF2-40B4-BE49-F238E27FC236}">
                <a16:creationId xmlns:a16="http://schemas.microsoft.com/office/drawing/2014/main" id="{00000000-0008-0000-0000-00000F000000}"/>
              </a:ext>
            </a:extLst>
          </xdr:cNvPr>
          <xdr:cNvSpPr/>
        </xdr:nvSpPr>
        <xdr:spPr>
          <a:xfrm>
            <a:off x="95251" y="95250"/>
            <a:ext cx="17582400" cy="714375"/>
          </a:xfrm>
          <a:prstGeom prst="roundRect">
            <a:avLst>
              <a:gd name="adj" fmla="val 11334"/>
            </a:avLst>
          </a:prstGeom>
          <a:solidFill>
            <a:srgbClr val="000000">
              <a:alpha val="50196"/>
            </a:srgb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pt-PT" sz="4000">
              <a:solidFill>
                <a:schemeClr val="accent5">
                  <a:alpha val="95000"/>
                </a:schemeClr>
              </a:solidFill>
            </a:endParaRPr>
          </a:p>
        </xdr:txBody>
      </xdr:sp>
      <xdr:grpSp>
        <xdr:nvGrpSpPr>
          <xdr:cNvPr id="20" name="Deposits / Withdrawals">
            <a:extLst>
              <a:ext uri="{FF2B5EF4-FFF2-40B4-BE49-F238E27FC236}">
                <a16:creationId xmlns:a16="http://schemas.microsoft.com/office/drawing/2014/main" id="{00000000-0008-0000-0000-000014000000}"/>
              </a:ext>
            </a:extLst>
          </xdr:cNvPr>
          <xdr:cNvGrpSpPr/>
        </xdr:nvGrpSpPr>
        <xdr:grpSpPr>
          <a:xfrm>
            <a:off x="15535275" y="144924"/>
            <a:ext cx="2178662" cy="635691"/>
            <a:chOff x="15535275" y="144924"/>
            <a:chExt cx="2178662" cy="635691"/>
          </a:xfrm>
        </xdr:grpSpPr>
        <xdr:sp macro="" textlink="Analysis!$I$13">
          <xdr:nvSpPr>
            <xdr:cNvPr id="25" name="Value Withdrawal">
              <a:extLst>
                <a:ext uri="{FF2B5EF4-FFF2-40B4-BE49-F238E27FC236}">
                  <a16:creationId xmlns:a16="http://schemas.microsoft.com/office/drawing/2014/main" id="{00000000-0008-0000-0000-000019000000}"/>
                </a:ext>
              </a:extLst>
            </xdr:cNvPr>
            <xdr:cNvSpPr txBox="1"/>
          </xdr:nvSpPr>
          <xdr:spPr>
            <a:xfrm>
              <a:off x="16982679" y="471491"/>
              <a:ext cx="40780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E7403FA-3B11-4E73-ACF8-A20A927591DA}" type="TxLink">
                <a:rPr lang="en-US" sz="1100" b="1" i="0" u="none" strike="noStrike">
                  <a:solidFill>
                    <a:schemeClr val="accent6"/>
                  </a:solidFill>
                  <a:latin typeface="Lucida Sans Unicode"/>
                  <a:cs typeface="Lucida Sans Unicode"/>
                </a:rPr>
                <a:pPr algn="ctr"/>
                <a:t>0 €</a:t>
              </a:fld>
              <a:endParaRPr lang="pt-PT" sz="1100" b="1" i="0">
                <a:solidFill>
                  <a:schemeClr val="accent6"/>
                </a:solidFill>
              </a:endParaRPr>
            </a:p>
          </xdr:txBody>
        </xdr:sp>
        <xdr:sp macro="[0]!Withdrawal_Click" textlink="">
          <xdr:nvSpPr>
            <xdr:cNvPr id="19" name="Text Withdrawal">
              <a:extLst>
                <a:ext uri="{FF2B5EF4-FFF2-40B4-BE49-F238E27FC236}">
                  <a16:creationId xmlns:a16="http://schemas.microsoft.com/office/drawing/2014/main" id="{00000000-0008-0000-0000-000013000000}"/>
                </a:ext>
              </a:extLst>
            </xdr:cNvPr>
            <xdr:cNvSpPr txBox="1"/>
          </xdr:nvSpPr>
          <xdr:spPr>
            <a:xfrm>
              <a:off x="16659225" y="144924"/>
              <a:ext cx="105471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solidFill>
                    <a:schemeClr val="accent5"/>
                  </a:solidFill>
                </a:rPr>
                <a:t> Withdrawals</a:t>
              </a:r>
            </a:p>
          </xdr:txBody>
        </xdr:sp>
        <xdr:pic>
          <xdr:nvPicPr>
            <xdr:cNvPr id="21" name="Image Deposit/Withdrawal" descr="Transfer">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6200000">
              <a:off x="16234882" y="178933"/>
              <a:ext cx="540000" cy="540000"/>
            </a:xfrm>
            <a:prstGeom prst="rect">
              <a:avLst/>
            </a:prstGeom>
          </xdr:spPr>
        </xdr:pic>
        <xdr:sp macro="" textlink="Analysis!$H$12">
          <xdr:nvSpPr>
            <xdr:cNvPr id="26" name="Value Deposit">
              <a:extLst>
                <a:ext uri="{FF2B5EF4-FFF2-40B4-BE49-F238E27FC236}">
                  <a16:creationId xmlns:a16="http://schemas.microsoft.com/office/drawing/2014/main" id="{00000000-0008-0000-0000-00001A000000}"/>
                </a:ext>
              </a:extLst>
            </xdr:cNvPr>
            <xdr:cNvSpPr txBox="1"/>
          </xdr:nvSpPr>
          <xdr:spPr>
            <a:xfrm>
              <a:off x="15633283" y="471491"/>
              <a:ext cx="58631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61FB9512-CCEB-46C7-BB53-9E03C949C0A1}" type="TxLink">
                <a:rPr lang="en-US" sz="1100" b="1" i="0" u="none" strike="noStrike">
                  <a:solidFill>
                    <a:schemeClr val="accent6"/>
                  </a:solidFill>
                  <a:latin typeface="Lucida Sans Unicode"/>
                  <a:cs typeface="Lucida Sans Unicode"/>
                </a:rPr>
                <a:pPr algn="ctr"/>
                <a:t>100 €</a:t>
              </a:fld>
              <a:endParaRPr lang="pt-PT" sz="1100" b="1">
                <a:solidFill>
                  <a:schemeClr val="accent6"/>
                </a:solidFill>
              </a:endParaRPr>
            </a:p>
          </xdr:txBody>
        </xdr:sp>
        <xdr:sp macro="[0]!Deposit_Click" textlink="">
          <xdr:nvSpPr>
            <xdr:cNvPr id="18" name="Text Deposit">
              <a:extLst>
                <a:ext uri="{FF2B5EF4-FFF2-40B4-BE49-F238E27FC236}">
                  <a16:creationId xmlns:a16="http://schemas.microsoft.com/office/drawing/2014/main" id="{00000000-0008-0000-0000-000012000000}"/>
                </a:ext>
              </a:extLst>
            </xdr:cNvPr>
            <xdr:cNvSpPr txBox="1"/>
          </xdr:nvSpPr>
          <xdr:spPr>
            <a:xfrm>
              <a:off x="15535275" y="144924"/>
              <a:ext cx="78233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Deposits</a:t>
              </a:r>
            </a:p>
          </xdr:txBody>
        </xdr:sp>
      </xdr:grpSp>
      <xdr:grpSp>
        <xdr:nvGrpSpPr>
          <xdr:cNvPr id="17" name="Current Bankroll">
            <a:extLst>
              <a:ext uri="{FF2B5EF4-FFF2-40B4-BE49-F238E27FC236}">
                <a16:creationId xmlns:a16="http://schemas.microsoft.com/office/drawing/2014/main" id="{00000000-0008-0000-0000-000011000000}"/>
              </a:ext>
            </a:extLst>
          </xdr:cNvPr>
          <xdr:cNvGrpSpPr/>
        </xdr:nvGrpSpPr>
        <xdr:grpSpPr>
          <a:xfrm>
            <a:off x="13735050" y="142875"/>
            <a:ext cx="1708439" cy="632974"/>
            <a:chOff x="13735050" y="142875"/>
            <a:chExt cx="1708439" cy="632974"/>
          </a:xfrm>
        </xdr:grpSpPr>
        <xdr:sp macro="" textlink="Analysis!$L$17">
          <xdr:nvSpPr>
            <xdr:cNvPr id="31" name="Value Bankroll">
              <a:extLst>
                <a:ext uri="{FF2B5EF4-FFF2-40B4-BE49-F238E27FC236}">
                  <a16:creationId xmlns:a16="http://schemas.microsoft.com/office/drawing/2014/main" id="{00000000-0008-0000-0000-00001F000000}"/>
                </a:ext>
              </a:extLst>
            </xdr:cNvPr>
            <xdr:cNvSpPr txBox="1"/>
          </xdr:nvSpPr>
          <xdr:spPr>
            <a:xfrm>
              <a:off x="14387140" y="466725"/>
              <a:ext cx="809069"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99864AB4-7655-4AE4-9536-444D493C4869}" type="TxLink">
                <a:rPr lang="en-US" sz="1100" b="1" i="0" u="none" strike="noStrike">
                  <a:solidFill>
                    <a:schemeClr val="accent6"/>
                  </a:solidFill>
                  <a:latin typeface="Lucida Sans Unicode"/>
                  <a:cs typeface="Lucida Sans Unicode"/>
                </a:rPr>
                <a:pPr algn="ctr"/>
                <a:t> 67,00 € </a:t>
              </a:fld>
              <a:endParaRPr lang="pt-PT" sz="1100" b="1">
                <a:solidFill>
                  <a:schemeClr val="accent6"/>
                </a:solidFill>
              </a:endParaRPr>
            </a:p>
          </xdr:txBody>
        </xdr:sp>
        <xdr:sp macro="" textlink="Bets!O1">
          <xdr:nvSpPr>
            <xdr:cNvPr id="32" name="Text Bankroll">
              <a:extLst>
                <a:ext uri="{FF2B5EF4-FFF2-40B4-BE49-F238E27FC236}">
                  <a16:creationId xmlns:a16="http://schemas.microsoft.com/office/drawing/2014/main" id="{00000000-0008-0000-0000-000020000000}"/>
                </a:ext>
              </a:extLst>
            </xdr:cNvPr>
            <xdr:cNvSpPr txBox="1"/>
          </xdr:nvSpPr>
          <xdr:spPr>
            <a:xfrm>
              <a:off x="14139862" y="142875"/>
              <a:ext cx="130362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52496B1-1949-45CC-84C3-A34160CFA1BE}" type="TxLink">
                <a:rPr lang="en-US" sz="1100" b="1" i="0" u="none" strike="noStrike">
                  <a:solidFill>
                    <a:schemeClr val="accent5"/>
                  </a:solidFill>
                  <a:latin typeface="Lucida Sans Unicode"/>
                  <a:cs typeface="Lucida Sans Unicode"/>
                </a:rPr>
                <a:pPr algn="ctr"/>
                <a:t>Current Bankroll</a:t>
              </a:fld>
              <a:endParaRPr lang="pt-PT" sz="1100" b="1">
                <a:solidFill>
                  <a:schemeClr val="accent5"/>
                </a:solidFill>
              </a:endParaRPr>
            </a:p>
          </xdr:txBody>
        </xdr:sp>
        <xdr:pic>
          <xdr:nvPicPr>
            <xdr:cNvPr id="28" name="Image Bankroll" descr="Coins">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735050" y="178933"/>
              <a:ext cx="540000" cy="540000"/>
            </a:xfrm>
            <a:prstGeom prst="rect">
              <a:avLst/>
            </a:prstGeom>
          </xdr:spPr>
        </xdr:pic>
      </xdr:grpSp>
      <xdr:grpSp>
        <xdr:nvGrpSpPr>
          <xdr:cNvPr id="16" name="Unit Calc">
            <a:extLst>
              <a:ext uri="{FF2B5EF4-FFF2-40B4-BE49-F238E27FC236}">
                <a16:creationId xmlns:a16="http://schemas.microsoft.com/office/drawing/2014/main" id="{00000000-0008-0000-0000-000010000000}"/>
              </a:ext>
            </a:extLst>
          </xdr:cNvPr>
          <xdr:cNvGrpSpPr/>
        </xdr:nvGrpSpPr>
        <xdr:grpSpPr>
          <a:xfrm>
            <a:off x="11725275" y="142875"/>
            <a:ext cx="2019300" cy="632974"/>
            <a:chOff x="11725275" y="142875"/>
            <a:chExt cx="2019300" cy="632974"/>
          </a:xfrm>
        </xdr:grpSpPr>
        <xdr:sp macro="" textlink="Analysis!G19">
          <xdr:nvSpPr>
            <xdr:cNvPr id="36" name="Value Unit Calc">
              <a:extLst>
                <a:ext uri="{FF2B5EF4-FFF2-40B4-BE49-F238E27FC236}">
                  <a16:creationId xmlns:a16="http://schemas.microsoft.com/office/drawing/2014/main" id="{00000000-0008-0000-0000-000024000000}"/>
                </a:ext>
              </a:extLst>
            </xdr:cNvPr>
            <xdr:cNvSpPr txBox="1"/>
          </xdr:nvSpPr>
          <xdr:spPr>
            <a:xfrm>
              <a:off x="12449175" y="466725"/>
              <a:ext cx="129540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A46D5A3-FBDC-411D-A8A1-04B142A89317}" type="TxLink">
                <a:rPr lang="en-US" sz="1100" b="1" i="0" u="none" strike="noStrike">
                  <a:solidFill>
                    <a:schemeClr val="accent6"/>
                  </a:solidFill>
                  <a:latin typeface="Lucida Sans Unicode"/>
                  <a:cs typeface="Lucida Sans Unicode"/>
                </a:rPr>
                <a:pPr algn="ctr"/>
                <a:t>4 Unit = 3,16 €</a:t>
              </a:fld>
              <a:endParaRPr lang="pt-PT" sz="1100" b="1">
                <a:solidFill>
                  <a:schemeClr val="accent6"/>
                </a:solidFill>
              </a:endParaRPr>
            </a:p>
          </xdr:txBody>
        </xdr:sp>
        <xdr:sp macro="" textlink="">
          <xdr:nvSpPr>
            <xdr:cNvPr id="33" name="Text Unit Calc">
              <a:extLst>
                <a:ext uri="{FF2B5EF4-FFF2-40B4-BE49-F238E27FC236}">
                  <a16:creationId xmlns:a16="http://schemas.microsoft.com/office/drawing/2014/main" id="{00000000-0008-0000-0000-000021000000}"/>
                </a:ext>
              </a:extLst>
            </xdr:cNvPr>
            <xdr:cNvSpPr txBox="1"/>
          </xdr:nvSpPr>
          <xdr:spPr>
            <a:xfrm>
              <a:off x="12698561" y="142875"/>
              <a:ext cx="79662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Unit Calc</a:t>
              </a:r>
            </a:p>
          </xdr:txBody>
        </xdr:sp>
        <xdr:pic macro="[0]!UnitCalcSubtract_Click">
          <xdr:nvPicPr>
            <xdr:cNvPr id="43" name="Sub Unit" descr="Arrow Rotate righ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35952" y="461253"/>
              <a:ext cx="270000" cy="270000"/>
            </a:xfrm>
            <a:prstGeom prst="rect">
              <a:avLst/>
            </a:prstGeom>
          </xdr:spPr>
        </xdr:pic>
        <xdr:pic macro="[0]!UnitCalcAdd_Click">
          <xdr:nvPicPr>
            <xdr:cNvPr id="40" name="Add Unit" descr="Arrow Rotate right">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rot="10800000">
              <a:off x="12235952" y="162678"/>
              <a:ext cx="270000" cy="270000"/>
            </a:xfrm>
            <a:prstGeom prst="rect">
              <a:avLst/>
            </a:prstGeom>
          </xdr:spPr>
        </xdr:pic>
        <xdr:pic macro="[0]!UnitCalcReset_Click">
          <xdr:nvPicPr>
            <xdr:cNvPr id="30" name="Image Unit Calc" descr="Calculator">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725275" y="178933"/>
              <a:ext cx="540000" cy="540000"/>
            </a:xfrm>
            <a:prstGeom prst="rect">
              <a:avLst/>
            </a:prstGeom>
          </xdr:spPr>
        </xdr:pic>
      </xdr:grpSp>
      <xdr:pic macro="[0]!RefreshAll">
        <xdr:nvPicPr>
          <xdr:cNvPr id="27" name="Refresh Data" descr="Repeat">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563100" y="171450"/>
            <a:ext cx="540000" cy="540000"/>
          </a:xfrm>
          <a:prstGeom prst="rect">
            <a:avLst/>
          </a:prstGeom>
        </xdr:spPr>
      </xdr:pic>
      <xdr:grpSp>
        <xdr:nvGrpSpPr>
          <xdr:cNvPr id="3" name="ROI%">
            <a:extLst>
              <a:ext uri="{FF2B5EF4-FFF2-40B4-BE49-F238E27FC236}">
                <a16:creationId xmlns:a16="http://schemas.microsoft.com/office/drawing/2014/main" id="{00000000-0008-0000-0000-000003000000}"/>
              </a:ext>
            </a:extLst>
          </xdr:cNvPr>
          <xdr:cNvGrpSpPr/>
        </xdr:nvGrpSpPr>
        <xdr:grpSpPr>
          <a:xfrm>
            <a:off x="6572310" y="512989"/>
            <a:ext cx="1390651" cy="309124"/>
            <a:chOff x="13773150" y="1871662"/>
            <a:chExt cx="781379" cy="309124"/>
          </a:xfrm>
        </xdr:grpSpPr>
        <xdr:sp macro="" textlink="Analysis!H1">
          <xdr:nvSpPr>
            <xdr:cNvPr id="5" name="Value ROI">
              <a:extLst>
                <a:ext uri="{FF2B5EF4-FFF2-40B4-BE49-F238E27FC236}">
                  <a16:creationId xmlns:a16="http://schemas.microsoft.com/office/drawing/2014/main" id="{00000000-0008-0000-0000-000005000000}"/>
                </a:ext>
              </a:extLst>
            </xdr:cNvPr>
            <xdr:cNvSpPr txBox="1"/>
          </xdr:nvSpPr>
          <xdr:spPr>
            <a:xfrm>
              <a:off x="14071943" y="1871662"/>
              <a:ext cx="482586" cy="28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E139840-6A90-47D9-924E-2ADB53EDD16B}" type="TxLink">
                <a:rPr lang="en-US" sz="1100" b="1" i="0" u="none" strike="noStrike">
                  <a:solidFill>
                    <a:schemeClr val="accent6"/>
                  </a:solidFill>
                  <a:latin typeface="Lucida Sans Unicode"/>
                  <a:cs typeface="Lucida Sans Unicode"/>
                </a:rPr>
                <a:pPr/>
                <a:t>-2,09%</a:t>
              </a:fld>
              <a:endParaRPr lang="pt-PT" sz="1100" b="1">
                <a:solidFill>
                  <a:schemeClr val="accent6"/>
                </a:solidFill>
              </a:endParaRPr>
            </a:p>
          </xdr:txBody>
        </xdr:sp>
        <xdr:sp macro="" textlink="">
          <xdr:nvSpPr>
            <xdr:cNvPr id="4" name="Text ROI">
              <a:extLst>
                <a:ext uri="{FF2B5EF4-FFF2-40B4-BE49-F238E27FC236}">
                  <a16:creationId xmlns:a16="http://schemas.microsoft.com/office/drawing/2014/main" id="{00000000-0008-0000-0000-000004000000}"/>
                </a:ext>
              </a:extLst>
            </xdr:cNvPr>
            <xdr:cNvSpPr txBox="1"/>
          </xdr:nvSpPr>
          <xdr:spPr>
            <a:xfrm>
              <a:off x="13773150" y="1871662"/>
              <a:ext cx="51248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ROI %:</a:t>
              </a:r>
            </a:p>
          </xdr:txBody>
        </xdr:sp>
      </xdr:grpSp>
      <xdr:grpSp>
        <xdr:nvGrpSpPr>
          <xdr:cNvPr id="55" name="Profit">
            <a:extLst>
              <a:ext uri="{FF2B5EF4-FFF2-40B4-BE49-F238E27FC236}">
                <a16:creationId xmlns:a16="http://schemas.microsoft.com/office/drawing/2014/main" id="{00000000-0008-0000-0000-000037000000}"/>
              </a:ext>
            </a:extLst>
          </xdr:cNvPr>
          <xdr:cNvGrpSpPr/>
        </xdr:nvGrpSpPr>
        <xdr:grpSpPr>
          <a:xfrm>
            <a:off x="6572237" y="303439"/>
            <a:ext cx="1495435" cy="309124"/>
            <a:chOff x="13773150" y="1871662"/>
            <a:chExt cx="1260388" cy="309124"/>
          </a:xfrm>
        </xdr:grpSpPr>
        <xdr:sp macro="" textlink="Analysis!B1">
          <xdr:nvSpPr>
            <xdr:cNvPr id="57" name="Value Profit">
              <a:extLst>
                <a:ext uri="{FF2B5EF4-FFF2-40B4-BE49-F238E27FC236}">
                  <a16:creationId xmlns:a16="http://schemas.microsoft.com/office/drawing/2014/main" id="{00000000-0008-0000-0000-000039000000}"/>
                </a:ext>
              </a:extLst>
            </xdr:cNvPr>
            <xdr:cNvSpPr txBox="1"/>
          </xdr:nvSpPr>
          <xdr:spPr>
            <a:xfrm>
              <a:off x="14222721" y="1871662"/>
              <a:ext cx="81081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1422BA3-2463-40E6-829B-B2A65D0B040D}" type="TxLink">
                <a:rPr lang="en-US" sz="1100" b="1" i="0" u="none" strike="noStrike">
                  <a:solidFill>
                    <a:schemeClr val="accent6"/>
                  </a:solidFill>
                  <a:latin typeface="Lucida Sans Unicode"/>
                  <a:cs typeface="Lucida Sans Unicode"/>
                </a:rPr>
                <a:pPr/>
                <a:t>-21,00 €</a:t>
              </a:fld>
              <a:endParaRPr lang="pt-PT" sz="1100" b="1">
                <a:solidFill>
                  <a:schemeClr val="accent6"/>
                </a:solidFill>
              </a:endParaRPr>
            </a:p>
          </xdr:txBody>
        </xdr:sp>
        <xdr:sp macro="" textlink="">
          <xdr:nvSpPr>
            <xdr:cNvPr id="56" name="Text Profit">
              <a:extLst>
                <a:ext uri="{FF2B5EF4-FFF2-40B4-BE49-F238E27FC236}">
                  <a16:creationId xmlns:a16="http://schemas.microsoft.com/office/drawing/2014/main" id="{00000000-0008-0000-0000-000038000000}"/>
                </a:ext>
              </a:extLst>
            </xdr:cNvPr>
            <xdr:cNvSpPr txBox="1"/>
          </xdr:nvSpPr>
          <xdr:spPr>
            <a:xfrm>
              <a:off x="13773150" y="1871662"/>
              <a:ext cx="597471"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Profit:</a:t>
              </a:r>
            </a:p>
          </xdr:txBody>
        </xdr:sp>
      </xdr:grpSp>
      <xdr:grpSp>
        <xdr:nvGrpSpPr>
          <xdr:cNvPr id="54" name="Pending Bets">
            <a:extLst>
              <a:ext uri="{FF2B5EF4-FFF2-40B4-BE49-F238E27FC236}">
                <a16:creationId xmlns:a16="http://schemas.microsoft.com/office/drawing/2014/main" id="{00000000-0008-0000-0000-000036000000}"/>
              </a:ext>
            </a:extLst>
          </xdr:cNvPr>
          <xdr:cNvGrpSpPr/>
        </xdr:nvGrpSpPr>
        <xdr:grpSpPr>
          <a:xfrm>
            <a:off x="6572244" y="93889"/>
            <a:ext cx="1340658" cy="309124"/>
            <a:chOff x="13773150" y="1871662"/>
            <a:chExt cx="1340658" cy="309124"/>
          </a:xfrm>
        </xdr:grpSpPr>
        <xdr:sp macro="[0]!PendingBets_Click" textlink="Analysis!$H$3">
          <xdr:nvSpPr>
            <xdr:cNvPr id="53" name="Value Pending Bets">
              <a:extLst>
                <a:ext uri="{FF2B5EF4-FFF2-40B4-BE49-F238E27FC236}">
                  <a16:creationId xmlns:a16="http://schemas.microsoft.com/office/drawing/2014/main" id="{00000000-0008-0000-0000-000035000000}"/>
                </a:ext>
              </a:extLst>
            </xdr:cNvPr>
            <xdr:cNvSpPr txBox="1"/>
          </xdr:nvSpPr>
          <xdr:spPr>
            <a:xfrm>
              <a:off x="14839950" y="1871662"/>
              <a:ext cx="27385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ADF971F-206E-4F23-A437-7AB4F9DD4459}" type="TxLink">
                <a:rPr lang="en-US" sz="1100" b="1" i="0" u="none" strike="noStrike">
                  <a:solidFill>
                    <a:schemeClr val="accent6"/>
                  </a:solidFill>
                  <a:latin typeface="Lucida Sans Unicode"/>
                  <a:cs typeface="Lucida Sans Unicode"/>
                </a:rPr>
                <a:pPr/>
                <a:t>3</a:t>
              </a:fld>
              <a:endParaRPr lang="pt-PT" sz="1100" b="1">
                <a:solidFill>
                  <a:schemeClr val="accent6"/>
                </a:solidFill>
              </a:endParaRPr>
            </a:p>
          </xdr:txBody>
        </xdr:sp>
        <xdr:sp macro="[0]!PendingBets_Click" textlink="">
          <xdr:nvSpPr>
            <xdr:cNvPr id="52" name="Text Pending Bets">
              <a:extLst>
                <a:ext uri="{FF2B5EF4-FFF2-40B4-BE49-F238E27FC236}">
                  <a16:creationId xmlns:a16="http://schemas.microsoft.com/office/drawing/2014/main" id="{00000000-0008-0000-0000-000034000000}"/>
                </a:ext>
              </a:extLst>
            </xdr:cNvPr>
            <xdr:cNvSpPr txBox="1"/>
          </xdr:nvSpPr>
          <xdr:spPr>
            <a:xfrm>
              <a:off x="13773150" y="1871662"/>
              <a:ext cx="1107483"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Pending Bets:</a:t>
              </a:r>
            </a:p>
          </xdr:txBody>
        </xdr:sp>
      </xdr:grpSp>
    </xdr:grpSp>
    <xdr:clientData/>
  </xdr:twoCellAnchor>
  <xdr:twoCellAnchor>
    <xdr:from>
      <xdr:col>14</xdr:col>
      <xdr:colOff>396290</xdr:colOff>
      <xdr:row>36</xdr:row>
      <xdr:rowOff>114300</xdr:rowOff>
    </xdr:from>
    <xdr:to>
      <xdr:col>18</xdr:col>
      <xdr:colOff>48290</xdr:colOff>
      <xdr:row>39</xdr:row>
      <xdr:rowOff>70777</xdr:rowOff>
    </xdr:to>
    <xdr:grpSp>
      <xdr:nvGrpSpPr>
        <xdr:cNvPr id="103" name="Bonus Bets">
          <a:extLst>
            <a:ext uri="{FF2B5EF4-FFF2-40B4-BE49-F238E27FC236}">
              <a16:creationId xmlns:a16="http://schemas.microsoft.com/office/drawing/2014/main" id="{00000000-0008-0000-0000-000067000000}"/>
            </a:ext>
          </a:extLst>
        </xdr:cNvPr>
        <xdr:cNvGrpSpPr/>
      </xdr:nvGrpSpPr>
      <xdr:grpSpPr>
        <a:xfrm>
          <a:off x="11064290" y="6629400"/>
          <a:ext cx="2700000" cy="499402"/>
          <a:chOff x="11064290" y="6667500"/>
          <a:chExt cx="2700000" cy="499402"/>
        </a:xfrm>
      </xdr:grpSpPr>
      <xdr:sp macro="" textlink="">
        <xdr:nvSpPr>
          <xdr:cNvPr id="102" name="Background Bonus Bets">
            <a:extLst>
              <a:ext uri="{FF2B5EF4-FFF2-40B4-BE49-F238E27FC236}">
                <a16:creationId xmlns:a16="http://schemas.microsoft.com/office/drawing/2014/main" id="{00000000-0008-0000-0000-000066000000}"/>
              </a:ext>
            </a:extLst>
          </xdr:cNvPr>
          <xdr:cNvSpPr/>
        </xdr:nvSpPr>
        <xdr:spPr>
          <a:xfrm>
            <a:off x="11064290" y="6667500"/>
            <a:ext cx="2700000" cy="499402"/>
          </a:xfrm>
          <a:prstGeom prst="roundRect">
            <a:avLst>
              <a:gd name="adj" fmla="val 12644"/>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sp macro="" textlink="Analysis!AE3">
        <xdr:nvSpPr>
          <xdr:cNvPr id="101" name="Bonus Bets">
            <a:extLst>
              <a:ext uri="{FF2B5EF4-FFF2-40B4-BE49-F238E27FC236}">
                <a16:creationId xmlns:a16="http://schemas.microsoft.com/office/drawing/2014/main" id="{00000000-0008-0000-0000-000065000000}"/>
              </a:ext>
            </a:extLst>
          </xdr:cNvPr>
          <xdr:cNvSpPr txBox="1"/>
        </xdr:nvSpPr>
        <xdr:spPr>
          <a:xfrm>
            <a:off x="11217039" y="6752797"/>
            <a:ext cx="2394502"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3FAE23-DEB3-477E-AD9E-1EC605B46AEC}" type="TxLink">
              <a:rPr lang="en-US" sz="1200" b="1" i="0" u="none" strike="noStrike">
                <a:solidFill>
                  <a:schemeClr val="accent6">
                    <a:alpha val="85000"/>
                  </a:schemeClr>
                </a:solidFill>
                <a:latin typeface="Lucida Sans Unicode"/>
                <a:cs typeface="Lucida Sans Unicode"/>
              </a:rPr>
              <a:pPr/>
              <a:t>1 Bonus Bets w/ Profit -&gt; 0 €</a:t>
            </a:fld>
            <a:endParaRPr lang="pt-PT" sz="1200" b="1">
              <a:solidFill>
                <a:schemeClr val="accent6">
                  <a:alpha val="85000"/>
                </a:schemeClr>
              </a:solidFill>
            </a:endParaRPr>
          </a:p>
        </xdr:txBody>
      </xdr:sp>
    </xdr:grpSp>
    <xdr:clientData/>
  </xdr:twoCellAnchor>
  <xdr:twoCellAnchor>
    <xdr:from>
      <xdr:col>0</xdr:col>
      <xdr:colOff>121167</xdr:colOff>
      <xdr:row>0</xdr:row>
      <xdr:rowOff>24765</xdr:rowOff>
    </xdr:from>
    <xdr:to>
      <xdr:col>8</xdr:col>
      <xdr:colOff>752475</xdr:colOff>
      <xdr:row>3</xdr:row>
      <xdr:rowOff>171450</xdr:rowOff>
    </xdr:to>
    <xdr:sp macro="[0]!HeaderNewBet_Click" textlink="">
      <xdr:nvSpPr>
        <xdr:cNvPr id="9" name="Title Total Profit">
          <a:extLst>
            <a:ext uri="{FF2B5EF4-FFF2-40B4-BE49-F238E27FC236}">
              <a16:creationId xmlns:a16="http://schemas.microsoft.com/office/drawing/2014/main" id="{00000000-0008-0000-0000-000009000000}"/>
            </a:ext>
          </a:extLst>
        </xdr:cNvPr>
        <xdr:cNvSpPr txBox="1"/>
      </xdr:nvSpPr>
      <xdr:spPr>
        <a:xfrm>
          <a:off x="121167" y="24765"/>
          <a:ext cx="6727308" cy="689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4000" b="0">
              <a:solidFill>
                <a:schemeClr val="accent5"/>
              </a:solidFill>
            </a:rPr>
            <a:t>Online Betting Dashboard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730250</xdr:colOff>
          <xdr:row>220</xdr:row>
          <xdr:rowOff>12700</xdr:rowOff>
        </xdr:from>
        <xdr:to>
          <xdr:col>15</xdr:col>
          <xdr:colOff>549275</xdr:colOff>
          <xdr:row>222</xdr:row>
          <xdr:rowOff>12700</xdr:rowOff>
        </xdr:to>
        <xdr:sp macro="" textlink="">
          <xdr:nvSpPr>
            <xdr:cNvPr id="4103" name="newBe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730250</xdr:colOff>
          <xdr:row>222</xdr:row>
          <xdr:rowOff>19050</xdr:rowOff>
        </xdr:from>
        <xdr:to>
          <xdr:col>15</xdr:col>
          <xdr:colOff>549275</xdr:colOff>
          <xdr:row>224</xdr:row>
          <xdr:rowOff>19050</xdr:rowOff>
        </xdr:to>
        <xdr:sp macro="" textlink="">
          <xdr:nvSpPr>
            <xdr:cNvPr id="4104" name="removeBet"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600075</xdr:colOff>
          <xdr:row>1</xdr:row>
          <xdr:rowOff>152400</xdr:rowOff>
        </xdr:from>
        <xdr:to>
          <xdr:col>16</xdr:col>
          <xdr:colOff>714375</xdr:colOff>
          <xdr:row>3</xdr:row>
          <xdr:rowOff>152400</xdr:rowOff>
        </xdr:to>
        <xdr:sp macro="" textlink="">
          <xdr:nvSpPr>
            <xdr:cNvPr id="4115" name="resetBets"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0</xdr:row>
          <xdr:rowOff>19050</xdr:rowOff>
        </xdr:from>
        <xdr:to>
          <xdr:col>4</xdr:col>
          <xdr:colOff>552450</xdr:colOff>
          <xdr:row>1</xdr:row>
          <xdr:rowOff>142875</xdr:rowOff>
        </xdr:to>
        <xdr:sp macro="" textlink="">
          <xdr:nvSpPr>
            <xdr:cNvPr id="8194" name="addMovement"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xdr:row>
          <xdr:rowOff>0</xdr:rowOff>
        </xdr:from>
        <xdr:to>
          <xdr:col>4</xdr:col>
          <xdr:colOff>552450</xdr:colOff>
          <xdr:row>3</xdr:row>
          <xdr:rowOff>123825</xdr:rowOff>
        </xdr:to>
        <xdr:sp macro="" textlink="">
          <xdr:nvSpPr>
            <xdr:cNvPr id="8195" name="removeMovement"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38100</xdr:rowOff>
        </xdr:from>
        <xdr:to>
          <xdr:col>1</xdr:col>
          <xdr:colOff>1295400</xdr:colOff>
          <xdr:row>1</xdr:row>
          <xdr:rowOff>133350</xdr:rowOff>
        </xdr:to>
        <xdr:sp macro="" textlink="">
          <xdr:nvSpPr>
            <xdr:cNvPr id="1025" name="addSpor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0</xdr:rowOff>
        </xdr:from>
        <xdr:to>
          <xdr:col>1</xdr:col>
          <xdr:colOff>1295400</xdr:colOff>
          <xdr:row>3</xdr:row>
          <xdr:rowOff>123825</xdr:rowOff>
        </xdr:to>
        <xdr:sp macro="" textlink="">
          <xdr:nvSpPr>
            <xdr:cNvPr id="1027" name="removeSport"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38100</xdr:rowOff>
        </xdr:from>
        <xdr:to>
          <xdr:col>3</xdr:col>
          <xdr:colOff>1295400</xdr:colOff>
          <xdr:row>1</xdr:row>
          <xdr:rowOff>133350</xdr:rowOff>
        </xdr:to>
        <xdr:sp macro="" textlink="">
          <xdr:nvSpPr>
            <xdr:cNvPr id="1028" name="addBetType"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0</xdr:rowOff>
        </xdr:from>
        <xdr:to>
          <xdr:col>3</xdr:col>
          <xdr:colOff>1295400</xdr:colOff>
          <xdr:row>3</xdr:row>
          <xdr:rowOff>123825</xdr:rowOff>
        </xdr:to>
        <xdr:sp macro="" textlink="">
          <xdr:nvSpPr>
            <xdr:cNvPr id="1029" name="removeBetTy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1304925</xdr:colOff>
          <xdr:row>1</xdr:row>
          <xdr:rowOff>133350</xdr:rowOff>
        </xdr:to>
        <xdr:sp macro="" textlink="">
          <xdr:nvSpPr>
            <xdr:cNvPr id="1030" name="addTipster"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1304925</xdr:colOff>
          <xdr:row>3</xdr:row>
          <xdr:rowOff>123825</xdr:rowOff>
        </xdr:to>
        <xdr:sp macro="" textlink="">
          <xdr:nvSpPr>
            <xdr:cNvPr id="1031" name="removeTipster"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38100</xdr:rowOff>
        </xdr:from>
        <xdr:to>
          <xdr:col>7</xdr:col>
          <xdr:colOff>1304925</xdr:colOff>
          <xdr:row>1</xdr:row>
          <xdr:rowOff>133350</xdr:rowOff>
        </xdr:to>
        <xdr:sp macro="" textlink="">
          <xdr:nvSpPr>
            <xdr:cNvPr id="1032" name="addBetOutcome"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7</xdr:col>
          <xdr:colOff>1304925</xdr:colOff>
          <xdr:row>3</xdr:row>
          <xdr:rowOff>123825</xdr:rowOff>
        </xdr:to>
        <xdr:sp macro="" textlink="">
          <xdr:nvSpPr>
            <xdr:cNvPr id="1033" name="removeBetOutcome"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joze/Desktop/Bett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ttings"/>
      <sheetName val="Deposits"/>
      <sheetName val="Bets"/>
      <sheetName val="Available Funds"/>
      <sheetName val="Performance Summary"/>
      <sheetName val="Performance Graph"/>
    </sheetNames>
    <sheetDataSet>
      <sheetData sheetId="0" refreshError="1"/>
      <sheetData sheetId="1">
        <row r="3">
          <cell r="AD3">
            <v>1</v>
          </cell>
          <cell r="AE3">
            <v>6</v>
          </cell>
          <cell r="AF3">
            <v>6</v>
          </cell>
          <cell r="AG3">
            <v>3</v>
          </cell>
          <cell r="AH3">
            <v>0</v>
          </cell>
        </row>
        <row r="6">
          <cell r="C6" t="str">
            <v>1xBet</v>
          </cell>
          <cell r="G6" t="str">
            <v>CS:GO</v>
          </cell>
          <cell r="I6" t="str">
            <v>Winner</v>
          </cell>
          <cell r="K6" t="str">
            <v>My own bets</v>
          </cell>
        </row>
        <row r="7">
          <cell r="G7" t="str">
            <v>League of Legends</v>
          </cell>
          <cell r="I7" t="str">
            <v>Over / Under Maps</v>
          </cell>
          <cell r="K7" t="str">
            <v>Shyux</v>
          </cell>
        </row>
        <row r="8">
          <cell r="G8" t="str">
            <v>NFL</v>
          </cell>
          <cell r="I8" t="str">
            <v>Over / Under Score</v>
          </cell>
          <cell r="K8" t="str">
            <v>Doodoo</v>
          </cell>
        </row>
        <row r="9">
          <cell r="G9" t="str">
            <v>Valorant</v>
          </cell>
          <cell r="I9" t="str">
            <v>Handicap Maps</v>
          </cell>
        </row>
        <row r="10">
          <cell r="G10" t="str">
            <v>Rainbow Six</v>
          </cell>
          <cell r="I10" t="str">
            <v>Handicap Rounds</v>
          </cell>
        </row>
        <row r="11">
          <cell r="G11" t="str">
            <v>NHL</v>
          </cell>
          <cell r="I11" t="str">
            <v>Accumulator</v>
          </cell>
        </row>
      </sheetData>
      <sheetData sheetId="2" refreshError="1"/>
      <sheetData sheetId="3" refreshError="1"/>
      <sheetData sheetId="4" refreshError="1"/>
      <sheetData sheetId="5" refreshError="1"/>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992569675924" createdVersion="8" refreshedVersion="8" minRefreshableVersion="3" recordCount="249" xr:uid="{61CBFD9F-395B-464B-987D-1FE5EECF9023}">
  <cacheSource type="worksheet">
    <worksheetSource name="TableBets"/>
  </cacheSource>
  <cacheFields count="16">
    <cacheField name="Date" numFmtId="14">
      <sharedItems containsSemiMixedTypes="0" containsNonDate="0" containsDate="1" containsString="0" minDate="2022-09-18T00:00:00" maxDate="2022-10-18T00:00:00" count="29">
        <d v="2022-09-18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sharedItems>
      <fieldGroup par="15"/>
    </cacheField>
    <cacheField name="Sport" numFmtId="49">
      <sharedItems count="8">
        <s v="CS:GO"/>
        <s v="League of Legends"/>
        <s v="NFL"/>
        <s v="Valorant"/>
        <s v="NHL"/>
        <s v="Rainbow Six"/>
        <s v="Football"/>
        <s v="Premier League" u="1"/>
      </sharedItems>
    </cacheField>
    <cacheField name="Selection" numFmtId="49">
      <sharedItems containsBlank="1"/>
    </cacheField>
    <cacheField name="Bet Type" numFmtId="49">
      <sharedItems count="6">
        <s v="Winner"/>
        <s v="Handicap Maps"/>
        <s v="Handicap Rounds"/>
        <s v="Accumulator"/>
        <s v="Over / Under Maps"/>
        <s v="Over / Under Score"/>
      </sharedItems>
    </cacheField>
    <cacheField name="Tipster" numFmtId="49">
      <sharedItems count="3">
        <s v="Shyux"/>
        <s v="Doodoo"/>
        <s v="Vasco"/>
      </sharedItems>
    </cacheField>
    <cacheField name="Fixture / Event" numFmtId="49">
      <sharedItems containsBlank="1"/>
    </cacheField>
    <cacheField name="Live" numFmtId="49">
      <sharedItems count="2">
        <s v="N"/>
        <s v="Y"/>
      </sharedItems>
    </cacheField>
    <cacheField name="BB" numFmtId="49">
      <sharedItems containsBlank="1" count="4">
        <s v="N"/>
        <s v="Y"/>
        <m u="1"/>
        <s v="sad" u="1"/>
      </sharedItems>
    </cacheField>
    <cacheField name="Score" numFmtId="49">
      <sharedItems containsBlank="1"/>
    </cacheField>
    <cacheField name="Stake" numFmtId="164">
      <sharedItems containsString="0" containsBlank="1" containsNumber="1" minValue="0.51" maxValue="11.46"/>
    </cacheField>
    <cacheField name="Odds" numFmtId="2">
      <sharedItems containsString="0" containsBlank="1" containsNumber="1" minValue="1.3" maxValue="12.365843999999999"/>
    </cacheField>
    <cacheField name="Win" numFmtId="49">
      <sharedItems count="5">
        <s v="Won"/>
        <s v="Lost"/>
        <s v="Acca"/>
        <s v="Refund"/>
        <s v="Pending"/>
      </sharedItems>
    </cacheField>
    <cacheField name="Profit" numFmtId="164">
      <sharedItems containsSemiMixedTypes="0" containsString="0" containsNumber="1" minValue="-9.07" maxValue="6.8000000000000007"/>
    </cacheField>
    <cacheField name="Sold for" numFmtId="164">
      <sharedItems containsNonDate="0" containsString="0" containsBlank="1"/>
    </cacheField>
    <cacheField name="Days (Date)" numFmtId="0" databaseField="0">
      <fieldGroup base="0">
        <rangePr groupBy="days" startDate="2022-09-18T00:00:00" endDate="2022-10-18T00:00:00"/>
        <groupItems count="368">
          <s v="&lt;18/09/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8/10/2022"/>
        </groupItems>
      </fieldGroup>
    </cacheField>
    <cacheField name="Months (Date)" numFmtId="0" databaseField="0">
      <fieldGroup base="0">
        <rangePr groupBy="months" startDate="2022-09-18T00:00:00" endDate="2022-10-18T00:00:00"/>
        <groupItems count="14">
          <s v="&lt;18/09/2022"/>
          <s v="jan"/>
          <s v="fev"/>
          <s v="mar"/>
          <s v="abr"/>
          <s v="mai"/>
          <s v="jun"/>
          <s v="jul"/>
          <s v="ago"/>
          <s v="set"/>
          <s v="out"/>
          <s v="nov"/>
          <s v="dez"/>
          <s v="&gt;18/10/2022"/>
        </groupItems>
      </fieldGroup>
    </cacheField>
  </cacheFields>
  <extLst>
    <ext xmlns:x14="http://schemas.microsoft.com/office/spreadsheetml/2009/9/main" uri="{725AE2AE-9491-48be-B2B4-4EB974FC3084}">
      <x14:pivotCacheDefinition pivotCacheId="20954893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992574768519" createdVersion="8" refreshedVersion="8" minRefreshableVersion="3" recordCount="2" xr:uid="{ED5BE47A-FA8A-4A60-BC81-FC8BCD824168}">
  <cacheSource type="worksheet">
    <worksheetSource name="TableMovement"/>
  </cacheSource>
  <cacheFields count="3">
    <cacheField name="Date" numFmtId="15">
      <sharedItems containsSemiMixedTypes="0" containsNonDate="0" containsDate="1" containsString="0" minDate="2022-09-20T00:00:00" maxDate="2022-10-10T00:00:00"/>
    </cacheField>
    <cacheField name="Movement" numFmtId="0">
      <sharedItems count="2">
        <s v="Deposit"/>
        <s v="Withdrawal" u="1"/>
      </sharedItems>
    </cacheField>
    <cacheField name="Value" numFmtId="164">
      <sharedItems containsSemiMixedTypes="0" containsString="0" containsNumber="1" containsInteger="1" minValue="50" maxValue="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x v="0"/>
    <x v="0"/>
    <s v="Havu"/>
    <x v="0"/>
    <x v="0"/>
    <s v="Havu v Jano map 2"/>
    <x v="0"/>
    <x v="0"/>
    <s v="16-11"/>
    <n v="4"/>
    <n v="1.85"/>
    <x v="0"/>
    <n v="3.4000000000000004"/>
    <m/>
  </r>
  <r>
    <x v="0"/>
    <x v="0"/>
    <s v="Arvum"/>
    <x v="0"/>
    <x v="0"/>
    <s v="Arvum v Los Grandes Acad"/>
    <x v="0"/>
    <x v="0"/>
    <s v="2-0"/>
    <n v="4"/>
    <n v="1.492"/>
    <x v="0"/>
    <n v="1.968"/>
    <m/>
  </r>
  <r>
    <x v="1"/>
    <x v="0"/>
    <s v="Finest"/>
    <x v="0"/>
    <x v="0"/>
    <s v="Team Finest v Bluejays"/>
    <x v="0"/>
    <x v="0"/>
    <s v="0-2"/>
    <n v="4"/>
    <n v="1.52"/>
    <x v="1"/>
    <n v="-4"/>
    <m/>
  </r>
  <r>
    <x v="1"/>
    <x v="0"/>
    <s v="Los Kogutos"/>
    <x v="0"/>
    <x v="0"/>
    <s v="Sinners v Los Kogutos map 1"/>
    <x v="0"/>
    <x v="0"/>
    <s v="16-12"/>
    <n v="4"/>
    <n v="1.47"/>
    <x v="1"/>
    <n v="-4"/>
    <m/>
  </r>
  <r>
    <x v="1"/>
    <x v="0"/>
    <s v="Falcons"/>
    <x v="0"/>
    <x v="0"/>
    <s v="Falcons v LDLC map 1"/>
    <x v="0"/>
    <x v="0"/>
    <s v="16-12"/>
    <n v="4"/>
    <n v="1.54"/>
    <x v="0"/>
    <n v="2.16"/>
    <m/>
  </r>
  <r>
    <x v="1"/>
    <x v="0"/>
    <s v="Falcons"/>
    <x v="0"/>
    <x v="0"/>
    <s v="Falcons v LDLC map 2"/>
    <x v="1"/>
    <x v="0"/>
    <s v="19-17"/>
    <n v="4"/>
    <n v="1.56"/>
    <x v="0"/>
    <n v="2.2400000000000002"/>
    <m/>
  </r>
  <r>
    <x v="1"/>
    <x v="0"/>
    <s v="Nexus"/>
    <x v="0"/>
    <x v="0"/>
    <s v="Nexus v Take Aim"/>
    <x v="0"/>
    <x v="0"/>
    <s v="1-2"/>
    <n v="4"/>
    <n v="2.024"/>
    <x v="1"/>
    <n v="-4"/>
    <m/>
  </r>
  <r>
    <x v="1"/>
    <x v="0"/>
    <s v="Apeks -1,5"/>
    <x v="1"/>
    <x v="0"/>
    <s v="eSuba v Apeks"/>
    <x v="0"/>
    <x v="0"/>
    <s v="2-0"/>
    <n v="4"/>
    <n v="3.4"/>
    <x v="1"/>
    <n v="-4"/>
    <m/>
  </r>
  <r>
    <x v="1"/>
    <x v="0"/>
    <s v="Windingo"/>
    <x v="0"/>
    <x v="0"/>
    <s v="MOB v Windingo map 2"/>
    <x v="1"/>
    <x v="0"/>
    <s v="11-16"/>
    <n v="4"/>
    <n v="1.52"/>
    <x v="0"/>
    <n v="2.08"/>
    <m/>
  </r>
  <r>
    <x v="1"/>
    <x v="0"/>
    <s v="MOB"/>
    <x v="0"/>
    <x v="0"/>
    <s v="MOB v Windingo map 3"/>
    <x v="1"/>
    <x v="0"/>
    <s v="16-9"/>
    <n v="4"/>
    <n v="1.72"/>
    <x v="0"/>
    <n v="2.88"/>
    <m/>
  </r>
  <r>
    <x v="2"/>
    <x v="0"/>
    <s v="Villainous Union"/>
    <x v="0"/>
    <x v="0"/>
    <s v="DNA v Villainous Union map 2"/>
    <x v="1"/>
    <x v="0"/>
    <s v="15-19"/>
    <n v="4"/>
    <n v="1.67"/>
    <x v="0"/>
    <n v="2.6799999999999997"/>
    <m/>
  </r>
  <r>
    <x v="2"/>
    <x v="0"/>
    <s v="Davenport +8,5"/>
    <x v="2"/>
    <x v="0"/>
    <s v="Davenport Univ v TeamOne"/>
    <x v="0"/>
    <x v="0"/>
    <s v="9-16"/>
    <n v="4"/>
    <n v="1.55"/>
    <x v="0"/>
    <n v="2.2000000000000002"/>
    <m/>
  </r>
  <r>
    <x v="2"/>
    <x v="0"/>
    <s v="Strife +1,5"/>
    <x v="1"/>
    <x v="0"/>
    <s v="Nouns v Strife"/>
    <x v="0"/>
    <x v="0"/>
    <s v="2-1"/>
    <n v="4"/>
    <n v="1.605"/>
    <x v="0"/>
    <n v="2.42"/>
    <m/>
  </r>
  <r>
    <x v="2"/>
    <x v="0"/>
    <s v="Big Omen Acad"/>
    <x v="0"/>
    <x v="0"/>
    <s v="BIG OMEN Acad v mouZ NXT"/>
    <x v="0"/>
    <x v="0"/>
    <s v="2-1"/>
    <n v="4"/>
    <n v="1.42"/>
    <x v="0"/>
    <n v="1.6799999999999997"/>
    <m/>
  </r>
  <r>
    <x v="2"/>
    <x v="0"/>
    <s v="Bad News Eagles"/>
    <x v="0"/>
    <x v="0"/>
    <s v="Bad News Eagles v Endpoint"/>
    <x v="0"/>
    <x v="0"/>
    <s v="2-1"/>
    <n v="4"/>
    <n v="1.3919999999999999"/>
    <x v="0"/>
    <n v="1.5679999999999996"/>
    <m/>
  </r>
  <r>
    <x v="2"/>
    <x v="0"/>
    <s v="Eternal Fire +1,5"/>
    <x v="1"/>
    <x v="0"/>
    <s v="Eternal Fire v Furia"/>
    <x v="0"/>
    <x v="0"/>
    <s v="1-2"/>
    <n v="4"/>
    <n v="1.52"/>
    <x v="0"/>
    <n v="2.08"/>
    <m/>
  </r>
  <r>
    <x v="2"/>
    <x v="0"/>
    <s v="Liquid -1,5"/>
    <x v="1"/>
    <x v="0"/>
    <s v="Team Liquid v Movistar Riders"/>
    <x v="0"/>
    <x v="0"/>
    <s v="2-1"/>
    <n v="4"/>
    <n v="1.81"/>
    <x v="1"/>
    <n v="-4"/>
    <m/>
  </r>
  <r>
    <x v="2"/>
    <x v="0"/>
    <s v="Bad News Eagles"/>
    <x v="0"/>
    <x v="0"/>
    <s v="Bad News Eagles v Endpoint map 2"/>
    <x v="1"/>
    <x v="0"/>
    <s v="16-5"/>
    <n v="4"/>
    <n v="1.42"/>
    <x v="0"/>
    <n v="1.6799999999999997"/>
    <m/>
  </r>
  <r>
    <x v="2"/>
    <x v="0"/>
    <s v="Bad News Eagles"/>
    <x v="0"/>
    <x v="0"/>
    <s v="Bad News Eagles v Endpoint"/>
    <x v="1"/>
    <x v="0"/>
    <s v="2-1"/>
    <n v="4"/>
    <n v="1.45"/>
    <x v="0"/>
    <n v="1.7999999999999998"/>
    <m/>
  </r>
  <r>
    <x v="2"/>
    <x v="0"/>
    <s v="Big Omen Acad"/>
    <x v="0"/>
    <x v="0"/>
    <s v="BIG OMEN Acad v mouZ NXT map 2"/>
    <x v="1"/>
    <x v="0"/>
    <s v="16-19"/>
    <n v="4"/>
    <n v="1.49"/>
    <x v="1"/>
    <n v="-4"/>
    <m/>
  </r>
  <r>
    <x v="2"/>
    <x v="0"/>
    <s v="Sprout"/>
    <x v="0"/>
    <x v="0"/>
    <s v="Sprout v sAw map 2"/>
    <x v="1"/>
    <x v="0"/>
    <s v="16-5"/>
    <n v="4"/>
    <n v="1.57"/>
    <x v="0"/>
    <n v="2.2800000000000002"/>
    <m/>
  </r>
  <r>
    <x v="2"/>
    <x v="0"/>
    <s v="Sprout"/>
    <x v="0"/>
    <x v="0"/>
    <s v="Sprout v sAw"/>
    <x v="0"/>
    <x v="0"/>
    <s v="2-1"/>
    <n v="4"/>
    <n v="1.58"/>
    <x v="0"/>
    <n v="2.3200000000000003"/>
    <m/>
  </r>
  <r>
    <x v="2"/>
    <x v="1"/>
    <s v="Team BDS"/>
    <x v="0"/>
    <x v="0"/>
    <s v="GameWard v Team BDS map 1"/>
    <x v="1"/>
    <x v="0"/>
    <s v="15-24"/>
    <n v="4"/>
    <n v="1.85"/>
    <x v="0"/>
    <n v="3.4000000000000004"/>
    <m/>
  </r>
  <r>
    <x v="2"/>
    <x v="1"/>
    <s v="Team BDS"/>
    <x v="0"/>
    <x v="0"/>
    <s v="GameWard v Team BDS map 2"/>
    <x v="1"/>
    <x v="0"/>
    <s v="6-17"/>
    <n v="4"/>
    <n v="1.47"/>
    <x v="0"/>
    <n v="1.88"/>
    <m/>
  </r>
  <r>
    <x v="2"/>
    <x v="1"/>
    <s v="FunPlus Blaze +1,5"/>
    <x v="1"/>
    <x v="0"/>
    <s v="FunPlus Blaze v EDG Youth"/>
    <x v="0"/>
    <x v="0"/>
    <s v="2-3"/>
    <n v="4"/>
    <n v="1.615"/>
    <x v="0"/>
    <n v="2.46"/>
    <m/>
  </r>
  <r>
    <x v="2"/>
    <x v="0"/>
    <s v="Movistar Riders +3,5"/>
    <x v="2"/>
    <x v="0"/>
    <s v="Team Liquid v Movistar Riders map 3"/>
    <x v="1"/>
    <x v="0"/>
    <s v="16-13"/>
    <n v="2"/>
    <n v="1.53"/>
    <x v="0"/>
    <n v="1.06"/>
    <m/>
  </r>
  <r>
    <x v="3"/>
    <x v="1"/>
    <s v="Heretics +2,5"/>
    <x v="1"/>
    <x v="0"/>
    <s v="Team Heretics v LDLC"/>
    <x v="0"/>
    <x v="0"/>
    <s v="3-1"/>
    <n v="4"/>
    <n v="1.4450000000000001"/>
    <x v="0"/>
    <n v="1.7800000000000002"/>
    <m/>
  </r>
  <r>
    <x v="3"/>
    <x v="0"/>
    <s v="Bluejays"/>
    <x v="0"/>
    <x v="0"/>
    <s v="Bluejays v Into the Breach map 2"/>
    <x v="1"/>
    <x v="0"/>
    <s v="16-14"/>
    <n v="4"/>
    <n v="1.94"/>
    <x v="0"/>
    <n v="3.76"/>
    <m/>
  </r>
  <r>
    <x v="3"/>
    <x v="0"/>
    <s v="Eternal Fire +6,5"/>
    <x v="2"/>
    <x v="0"/>
    <s v="Cloud9 v Eternal Fire map 1"/>
    <x v="0"/>
    <x v="0"/>
    <s v="16-12"/>
    <n v="4"/>
    <n v="1.52"/>
    <x v="0"/>
    <n v="2.08"/>
    <m/>
  </r>
  <r>
    <x v="3"/>
    <x v="0"/>
    <s v="Vertex"/>
    <x v="0"/>
    <x v="0"/>
    <s v="Antic v  Vertex"/>
    <x v="0"/>
    <x v="0"/>
    <s v="1-2"/>
    <n v="4"/>
    <n v="1.38"/>
    <x v="0"/>
    <n v="1.5199999999999996"/>
    <m/>
  </r>
  <r>
    <x v="3"/>
    <x v="0"/>
    <s v="Finest"/>
    <x v="0"/>
    <x v="0"/>
    <s v="Team Finest v Masonic"/>
    <x v="0"/>
    <x v="0"/>
    <s v="1-2"/>
    <n v="4"/>
    <n v="1.41"/>
    <x v="1"/>
    <n v="-4"/>
    <m/>
  </r>
  <r>
    <x v="3"/>
    <x v="0"/>
    <s v="Eternal Fire"/>
    <x v="0"/>
    <x v="0"/>
    <s v="Cloud9 v Eternal Fire map 2"/>
    <x v="1"/>
    <x v="0"/>
    <s v="16-11"/>
    <n v="4"/>
    <n v="2.11"/>
    <x v="1"/>
    <n v="-4"/>
    <m/>
  </r>
  <r>
    <x v="3"/>
    <x v="0"/>
    <s v="Finest"/>
    <x v="0"/>
    <x v="0"/>
    <s v="Team Finest v Masonic map 2"/>
    <x v="1"/>
    <x v="0"/>
    <s v="17-19"/>
    <n v="4"/>
    <n v="1.82"/>
    <x v="1"/>
    <n v="-4"/>
    <m/>
  </r>
  <r>
    <x v="3"/>
    <x v="0"/>
    <s v="Movistar Riders +10,5"/>
    <x v="2"/>
    <x v="0"/>
    <s v="Movistar Riders v Furia map 1"/>
    <x v="0"/>
    <x v="0"/>
    <s v="3-16"/>
    <n v="4"/>
    <n v="1.55"/>
    <x v="1"/>
    <n v="-4"/>
    <m/>
  </r>
  <r>
    <x v="3"/>
    <x v="0"/>
    <s v="Jano"/>
    <x v="0"/>
    <x v="0"/>
    <s v="Pact v Jano map 2"/>
    <x v="0"/>
    <x v="0"/>
    <s v="10-16"/>
    <n v="4"/>
    <n v="1.44"/>
    <x v="0"/>
    <n v="1.7599999999999998"/>
    <m/>
  </r>
  <r>
    <x v="3"/>
    <x v="0"/>
    <s v="Finest"/>
    <x v="0"/>
    <x v="0"/>
    <s v="Team Finest v Masonic"/>
    <x v="0"/>
    <x v="0"/>
    <s v="1-2"/>
    <n v="4"/>
    <n v="1.67"/>
    <x v="1"/>
    <n v="-4"/>
    <m/>
  </r>
  <r>
    <x v="3"/>
    <x v="0"/>
    <s v="Furia"/>
    <x v="0"/>
    <x v="0"/>
    <s v="Movistar Riders v Furia map 2"/>
    <x v="1"/>
    <x v="0"/>
    <s v="13-16"/>
    <n v="6"/>
    <n v="1.61"/>
    <x v="0"/>
    <n v="3.6600000000000006"/>
    <m/>
  </r>
  <r>
    <x v="3"/>
    <x v="1"/>
    <s v="LDLC"/>
    <x v="0"/>
    <x v="0"/>
    <s v="Team Heretics v LDLC map 2"/>
    <x v="1"/>
    <x v="0"/>
    <s v="5-17"/>
    <n v="6"/>
    <n v="1.65"/>
    <x v="0"/>
    <n v="3.8999999999999995"/>
    <m/>
  </r>
  <r>
    <x v="3"/>
    <x v="1"/>
    <s v="LDLC"/>
    <x v="0"/>
    <x v="0"/>
    <s v="Team Heretics v LDLC map 3"/>
    <x v="1"/>
    <x v="0"/>
    <s v="19-9"/>
    <n v="6"/>
    <n v="1.67"/>
    <x v="1"/>
    <n v="-6"/>
    <m/>
  </r>
  <r>
    <x v="3"/>
    <x v="0"/>
    <s v="Into the Breach"/>
    <x v="0"/>
    <x v="0"/>
    <s v="Into the Breach v Sinners"/>
    <x v="0"/>
    <x v="0"/>
    <s v="0-2"/>
    <n v="4"/>
    <n v="1.9"/>
    <x v="1"/>
    <n v="-4"/>
    <m/>
  </r>
  <r>
    <x v="3"/>
    <x v="0"/>
    <s v="Union"/>
    <x v="0"/>
    <x v="0"/>
    <s v="9z Acad v Union map 2"/>
    <x v="1"/>
    <x v="0"/>
    <s v="10-16"/>
    <n v="4"/>
    <n v="1.85"/>
    <x v="0"/>
    <n v="3.4000000000000004"/>
    <m/>
  </r>
  <r>
    <x v="3"/>
    <x v="0"/>
    <s v="Team One"/>
    <x v="0"/>
    <x v="0"/>
    <s v="EG Black v TeamOne map 1"/>
    <x v="0"/>
    <x v="0"/>
    <s v="11-16"/>
    <n v="4"/>
    <n v="1.48"/>
    <x v="0"/>
    <n v="1.92"/>
    <m/>
  </r>
  <r>
    <x v="3"/>
    <x v="0"/>
    <s v="Daotsu"/>
    <x v="0"/>
    <x v="0"/>
    <s v="Fusion v Daotsu"/>
    <x v="0"/>
    <x v="0"/>
    <s v="1-2"/>
    <n v="4"/>
    <n v="1.35"/>
    <x v="0"/>
    <n v="1.4000000000000004"/>
    <m/>
  </r>
  <r>
    <x v="3"/>
    <x v="0"/>
    <s v="EG Black"/>
    <x v="0"/>
    <x v="0"/>
    <s v="EG Black v TeamOne map 2"/>
    <x v="1"/>
    <x v="0"/>
    <s v="14-16"/>
    <n v="4"/>
    <n v="1.52"/>
    <x v="1"/>
    <n v="-4"/>
    <m/>
  </r>
  <r>
    <x v="4"/>
    <x v="0"/>
    <s v="Eternal Fire"/>
    <x v="0"/>
    <x v="0"/>
    <s v="Eternal Fire v Evil Geniuses map 1"/>
    <x v="0"/>
    <x v="0"/>
    <s v="9-16"/>
    <n v="4"/>
    <n v="1.51"/>
    <x v="1"/>
    <n v="-4"/>
    <m/>
  </r>
  <r>
    <x v="4"/>
    <x v="0"/>
    <s v="Liquid"/>
    <x v="0"/>
    <x v="0"/>
    <s v="Team Liquid v Furia"/>
    <x v="0"/>
    <x v="0"/>
    <s v="1-2"/>
    <n v="4"/>
    <n v="1.6040000000000001"/>
    <x v="1"/>
    <n v="-4"/>
    <m/>
  </r>
  <r>
    <x v="4"/>
    <x v="0"/>
    <s v="Paqueta"/>
    <x v="0"/>
    <x v="0"/>
    <s v="Paqueta v Furia Acad"/>
    <x v="0"/>
    <x v="0"/>
    <s v="2-0"/>
    <n v="4"/>
    <n v="1.4119999999999999"/>
    <x v="0"/>
    <n v="1.6479999999999997"/>
    <m/>
  </r>
  <r>
    <x v="4"/>
    <x v="1"/>
    <s v="MAX +1,5"/>
    <x v="1"/>
    <x v="0"/>
    <s v="T1 Challengers v MAX E-Sports"/>
    <x v="0"/>
    <x v="0"/>
    <s v="2-3"/>
    <n v="4"/>
    <n v="1.532"/>
    <x v="0"/>
    <n v="2.1280000000000001"/>
    <m/>
  </r>
  <r>
    <x v="4"/>
    <x v="0"/>
    <s v="Isurus"/>
    <x v="0"/>
    <x v="0"/>
    <s v="MIBR Acad v Isurus map 2"/>
    <x v="1"/>
    <x v="0"/>
    <s v="13-16"/>
    <n v="4"/>
    <n v="1.55"/>
    <x v="0"/>
    <n v="2.2000000000000002"/>
    <m/>
  </r>
  <r>
    <x v="4"/>
    <x v="0"/>
    <s v="Movistar Riders +7,5"/>
    <x v="2"/>
    <x v="0"/>
    <s v="Cloud9 v Movistar Riders map 1"/>
    <x v="0"/>
    <x v="0"/>
    <s v="16-7"/>
    <n v="4"/>
    <n v="2.02"/>
    <x v="1"/>
    <n v="-4"/>
    <m/>
  </r>
  <r>
    <x v="4"/>
    <x v="0"/>
    <m/>
    <x v="3"/>
    <x v="0"/>
    <m/>
    <x v="0"/>
    <x v="0"/>
    <m/>
    <n v="4"/>
    <n v="12.365843999999999"/>
    <x v="1"/>
    <n v="-4"/>
    <m/>
  </r>
  <r>
    <x v="4"/>
    <x v="0"/>
    <s v="Cloud9 -4,5"/>
    <x v="2"/>
    <x v="0"/>
    <s v="Cloud9 v Movistar Riders map 2"/>
    <x v="0"/>
    <x v="0"/>
    <s v="16-4"/>
    <m/>
    <m/>
    <x v="2"/>
    <n v="0"/>
    <m/>
  </r>
  <r>
    <x v="4"/>
    <x v="0"/>
    <s v="Liquid"/>
    <x v="0"/>
    <x v="0"/>
    <s v="Team Liquid v Furia"/>
    <x v="0"/>
    <x v="0"/>
    <s v="1-2"/>
    <m/>
    <m/>
    <x v="2"/>
    <n v="0"/>
    <m/>
  </r>
  <r>
    <x v="4"/>
    <x v="0"/>
    <s v="Over 2,5"/>
    <x v="4"/>
    <x v="0"/>
    <s v="Eternal Fire v Evil Geniuses"/>
    <x v="0"/>
    <x v="0"/>
    <s v="0-2"/>
    <m/>
    <m/>
    <x v="2"/>
    <n v="0"/>
    <m/>
  </r>
  <r>
    <x v="4"/>
    <x v="0"/>
    <s v="Big Omen Acad"/>
    <x v="0"/>
    <x v="0"/>
    <s v="For The Win v Big Omen Acad"/>
    <x v="0"/>
    <x v="0"/>
    <s v="1-2"/>
    <m/>
    <m/>
    <x v="2"/>
    <n v="0"/>
    <m/>
  </r>
  <r>
    <x v="4"/>
    <x v="0"/>
    <s v="Masonic"/>
    <x v="0"/>
    <x v="0"/>
    <s v="Ecstatic v Masonic"/>
    <x v="0"/>
    <x v="0"/>
    <s v="19-16"/>
    <n v="4"/>
    <n v="1.8"/>
    <x v="1"/>
    <n v="-4"/>
    <m/>
  </r>
  <r>
    <x v="4"/>
    <x v="0"/>
    <s v="Windingo +1,5"/>
    <x v="1"/>
    <x v="0"/>
    <s v="Windingo v Sharks"/>
    <x v="0"/>
    <x v="0"/>
    <s v="0-2"/>
    <n v="4"/>
    <n v="1.4"/>
    <x v="1"/>
    <n v="-4"/>
    <m/>
  </r>
  <r>
    <x v="4"/>
    <x v="0"/>
    <s v="Eternal Fire -3,5"/>
    <x v="2"/>
    <x v="0"/>
    <s v="Eternal Fire v Evil Geniuses map 2"/>
    <x v="0"/>
    <x v="0"/>
    <s v="4-16"/>
    <n v="4"/>
    <n v="1.96"/>
    <x v="1"/>
    <n v="-4"/>
    <m/>
  </r>
  <r>
    <x v="4"/>
    <x v="0"/>
    <s v="Eternal Fire"/>
    <x v="0"/>
    <x v="0"/>
    <s v="Eternal Fire v Evil Geniuses"/>
    <x v="0"/>
    <x v="0"/>
    <s v="0-2"/>
    <n v="4"/>
    <n v="2.2400000000000002"/>
    <x v="1"/>
    <n v="-4"/>
    <m/>
  </r>
  <r>
    <x v="4"/>
    <x v="0"/>
    <s v="Team One"/>
    <x v="0"/>
    <x v="0"/>
    <s v="Team One v BHOP"/>
    <x v="0"/>
    <x v="0"/>
    <s v="25-23"/>
    <n v="4"/>
    <n v="1.68"/>
    <x v="0"/>
    <n v="2.7199999999999998"/>
    <m/>
  </r>
  <r>
    <x v="4"/>
    <x v="0"/>
    <s v="MOB"/>
    <x v="0"/>
    <x v="0"/>
    <s v="River Plat v MOB"/>
    <x v="0"/>
    <x v="0"/>
    <s v="16-10"/>
    <n v="4"/>
    <n v="1.5"/>
    <x v="1"/>
    <n v="-4"/>
    <m/>
  </r>
  <r>
    <x v="4"/>
    <x v="0"/>
    <s v="Liquid"/>
    <x v="0"/>
    <x v="0"/>
    <s v="Team Liquid v Furia"/>
    <x v="0"/>
    <x v="0"/>
    <s v="1-2"/>
    <n v="4"/>
    <n v="1.66"/>
    <x v="1"/>
    <n v="-4"/>
    <m/>
  </r>
  <r>
    <x v="4"/>
    <x v="0"/>
    <s v="Mouz"/>
    <x v="0"/>
    <x v="0"/>
    <s v="Mouz v Sinners"/>
    <x v="0"/>
    <x v="0"/>
    <s v="16-14"/>
    <n v="4"/>
    <n v="1.62"/>
    <x v="0"/>
    <n v="2.4800000000000004"/>
    <m/>
  </r>
  <r>
    <x v="4"/>
    <x v="0"/>
    <s v="Paqueta"/>
    <x v="0"/>
    <x v="0"/>
    <s v="Paqueta v Furia Acad map 2"/>
    <x v="0"/>
    <x v="0"/>
    <s v="16-9"/>
    <n v="4"/>
    <n v="1.62"/>
    <x v="0"/>
    <n v="2.4800000000000004"/>
    <m/>
  </r>
  <r>
    <x v="4"/>
    <x v="0"/>
    <s v="Nouns +8,5"/>
    <x v="2"/>
    <x v="0"/>
    <s v="Nouns v Team One map 1"/>
    <x v="0"/>
    <x v="0"/>
    <s v="7-16"/>
    <n v="4"/>
    <n v="1.78"/>
    <x v="1"/>
    <n v="-4"/>
    <m/>
  </r>
  <r>
    <x v="4"/>
    <x v="0"/>
    <s v="Union"/>
    <x v="0"/>
    <x v="0"/>
    <s v="Furious v Union"/>
    <x v="0"/>
    <x v="0"/>
    <s v="6-16"/>
    <n v="4"/>
    <n v="1.76"/>
    <x v="0"/>
    <n v="3.04"/>
    <m/>
  </r>
  <r>
    <x v="4"/>
    <x v="0"/>
    <s v="Union"/>
    <x v="0"/>
    <x v="0"/>
    <s v="Furious v Union"/>
    <x v="0"/>
    <x v="0"/>
    <s v="6-16"/>
    <n v="4"/>
    <n v="1.8"/>
    <x v="0"/>
    <n v="3.2"/>
    <m/>
  </r>
  <r>
    <x v="5"/>
    <x v="0"/>
    <s v="Evil Geniuses"/>
    <x v="0"/>
    <x v="0"/>
    <s v="Movistar Riders v Evil Geniuses map 1"/>
    <x v="0"/>
    <x v="0"/>
    <s v="9-16"/>
    <n v="4"/>
    <n v="1.9159999999999999"/>
    <x v="0"/>
    <n v="3.6639999999999997"/>
    <m/>
  </r>
  <r>
    <x v="5"/>
    <x v="0"/>
    <s v="Movistar Riders"/>
    <x v="0"/>
    <x v="0"/>
    <s v="Movistar Riders v Evil Geniuses map 2"/>
    <x v="0"/>
    <x v="0"/>
    <s v="8-16"/>
    <n v="4"/>
    <n v="1.73"/>
    <x v="1"/>
    <n v="-4"/>
    <m/>
  </r>
  <r>
    <x v="5"/>
    <x v="0"/>
    <s v="Los Kogutos"/>
    <x v="0"/>
    <x v="0"/>
    <s v="Los Kogutos v Illuminar map 2"/>
    <x v="0"/>
    <x v="0"/>
    <s v="1-16"/>
    <n v="4"/>
    <n v="1.69"/>
    <x v="1"/>
    <n v="-4"/>
    <m/>
  </r>
  <r>
    <x v="5"/>
    <x v="0"/>
    <s v="Liquid -1,5"/>
    <x v="1"/>
    <x v="0"/>
    <s v="Team Liquid v Eternal Fire"/>
    <x v="0"/>
    <x v="0"/>
    <s v="0-2"/>
    <n v="4"/>
    <n v="1.72"/>
    <x v="1"/>
    <n v="-4"/>
    <m/>
  </r>
  <r>
    <x v="5"/>
    <x v="0"/>
    <s v="Meta Gaming BR"/>
    <x v="0"/>
    <x v="0"/>
    <s v="Meta Gaming BR v Isurus map 2"/>
    <x v="0"/>
    <x v="0"/>
    <s v="12-16"/>
    <n v="4"/>
    <n v="1.3"/>
    <x v="1"/>
    <n v="-4"/>
    <m/>
  </r>
  <r>
    <x v="5"/>
    <x v="0"/>
    <s v="MOB"/>
    <x v="0"/>
    <x v="0"/>
    <s v="MOB v Furious"/>
    <x v="0"/>
    <x v="0"/>
    <s v="2-1"/>
    <n v="4"/>
    <n v="1.645"/>
    <x v="0"/>
    <n v="2.58"/>
    <m/>
  </r>
  <r>
    <x v="5"/>
    <x v="0"/>
    <s v="Team One +1,5"/>
    <x v="1"/>
    <x v="0"/>
    <s v="Team One v Evil Geniuses White"/>
    <x v="0"/>
    <x v="0"/>
    <s v="2-0"/>
    <n v="4"/>
    <n v="1.3440000000000001"/>
    <x v="0"/>
    <n v="1.3760000000000003"/>
    <m/>
  </r>
  <r>
    <x v="5"/>
    <x v="0"/>
    <s v="Furia +4,5"/>
    <x v="2"/>
    <x v="0"/>
    <s v="Cloud9 v Furia map 1"/>
    <x v="0"/>
    <x v="0"/>
    <s v="16-8"/>
    <n v="4"/>
    <n v="1.56"/>
    <x v="1"/>
    <n v="-4"/>
    <m/>
  </r>
  <r>
    <x v="5"/>
    <x v="0"/>
    <s v="Fluxo -2,5"/>
    <x v="1"/>
    <x v="0"/>
    <s v="Corinthians v Fluxo"/>
    <x v="0"/>
    <x v="0"/>
    <s v="1-2"/>
    <n v="4"/>
    <n v="1.82"/>
    <x v="1"/>
    <n v="-4"/>
    <m/>
  </r>
  <r>
    <x v="5"/>
    <x v="0"/>
    <m/>
    <x v="3"/>
    <x v="0"/>
    <m/>
    <x v="0"/>
    <x v="0"/>
    <m/>
    <n v="2"/>
    <n v="6.2771299999999997"/>
    <x v="1"/>
    <n v="-2"/>
    <m/>
  </r>
  <r>
    <x v="5"/>
    <x v="0"/>
    <s v="MOB"/>
    <x v="0"/>
    <x v="0"/>
    <s v="MOB v Furious"/>
    <x v="0"/>
    <x v="0"/>
    <s v="2-1"/>
    <m/>
    <n v="1.65"/>
    <x v="2"/>
    <n v="0"/>
    <m/>
  </r>
  <r>
    <x v="5"/>
    <x v="0"/>
    <s v="Team One +1,5"/>
    <x v="1"/>
    <x v="0"/>
    <s v="Team One v Evil Geniuses White"/>
    <x v="0"/>
    <x v="0"/>
    <s v="2-0"/>
    <m/>
    <n v="1.34"/>
    <x v="2"/>
    <n v="0"/>
    <m/>
  </r>
  <r>
    <x v="5"/>
    <x v="0"/>
    <s v="Furia +4,5"/>
    <x v="2"/>
    <x v="0"/>
    <s v="Cloud0 v Furia map 1"/>
    <x v="0"/>
    <x v="0"/>
    <s v="16-8"/>
    <m/>
    <n v="1.56"/>
    <x v="2"/>
    <n v="0"/>
    <m/>
  </r>
  <r>
    <x v="5"/>
    <x v="0"/>
    <s v="Fluxo -2,5"/>
    <x v="1"/>
    <x v="0"/>
    <s v="Corinthians v Fluxo"/>
    <x v="0"/>
    <x v="0"/>
    <s v="1-2"/>
    <m/>
    <n v="1.82"/>
    <x v="2"/>
    <n v="0"/>
    <m/>
  </r>
  <r>
    <x v="6"/>
    <x v="0"/>
    <s v="Havu"/>
    <x v="0"/>
    <x v="0"/>
    <s v="Havu v Masonic"/>
    <x v="0"/>
    <x v="0"/>
    <s v="0-2"/>
    <n v="4"/>
    <n v="1.708"/>
    <x v="1"/>
    <n v="-4"/>
    <m/>
  </r>
  <r>
    <x v="6"/>
    <x v="0"/>
    <s v="Into the Breach"/>
    <x v="0"/>
    <x v="0"/>
    <s v="Anonymo v Into the Breach"/>
    <x v="0"/>
    <x v="0"/>
    <s v="2-0"/>
    <n v="5"/>
    <n v="1.5980000000000001"/>
    <x v="1"/>
    <n v="-5"/>
    <m/>
  </r>
  <r>
    <x v="6"/>
    <x v="1"/>
    <s v="Team BDS Acad"/>
    <x v="0"/>
    <x v="0"/>
    <s v="Team Heretics v Team BDS Acad map 2"/>
    <x v="1"/>
    <x v="0"/>
    <s v="17-15"/>
    <n v="4"/>
    <n v="1.49"/>
    <x v="1"/>
    <n v="-4"/>
    <m/>
  </r>
  <r>
    <x v="6"/>
    <x v="0"/>
    <s v="Masonic +1,5"/>
    <x v="1"/>
    <x v="0"/>
    <s v="Ecstatic v Masonic"/>
    <x v="0"/>
    <x v="0"/>
    <s v="2-1"/>
    <n v="5.94"/>
    <n v="1.532"/>
    <x v="0"/>
    <n v="3.1600800000000002"/>
    <m/>
  </r>
  <r>
    <x v="6"/>
    <x v="0"/>
    <s v="Cloud9"/>
    <x v="0"/>
    <x v="0"/>
    <s v="Cloud9 v Team Liquid"/>
    <x v="0"/>
    <x v="0"/>
    <s v="0-2"/>
    <n v="4"/>
    <n v="4.37"/>
    <x v="1"/>
    <n v="-4"/>
    <m/>
  </r>
  <r>
    <x v="6"/>
    <x v="0"/>
    <s v="Eternal Fire"/>
    <x v="0"/>
    <x v="0"/>
    <s v="Sinners v Eternal Fire"/>
    <x v="0"/>
    <x v="0"/>
    <s v="1-2"/>
    <n v="4"/>
    <n v="1.67"/>
    <x v="0"/>
    <n v="2.6799999999999997"/>
    <m/>
  </r>
  <r>
    <x v="6"/>
    <x v="0"/>
    <s v="Into the Breach"/>
    <x v="0"/>
    <x v="0"/>
    <s v="Anonymo v Into the Breach"/>
    <x v="0"/>
    <x v="0"/>
    <s v="2-0"/>
    <n v="1.1000000000000001"/>
    <n v="1.85"/>
    <x v="1"/>
    <n v="-1.1000000000000001"/>
    <m/>
  </r>
  <r>
    <x v="7"/>
    <x v="0"/>
    <s v="Sinners"/>
    <x v="0"/>
    <x v="0"/>
    <s v="Team Finest v Sinners"/>
    <x v="0"/>
    <x v="0"/>
    <s v="1-2"/>
    <n v="6.68"/>
    <n v="1.748"/>
    <x v="0"/>
    <n v="4.9966400000000002"/>
    <m/>
  </r>
  <r>
    <x v="7"/>
    <x v="0"/>
    <s v="Meta Gaming BR -1,5"/>
    <x v="1"/>
    <x v="0"/>
    <s v="Meta Gaming BR v River Plate"/>
    <x v="0"/>
    <x v="0"/>
    <s v="2-1"/>
    <n v="4"/>
    <n v="1.7749999999999999"/>
    <x v="1"/>
    <n v="-4"/>
    <m/>
  </r>
  <r>
    <x v="8"/>
    <x v="0"/>
    <s v="Fnatic +1,5"/>
    <x v="1"/>
    <x v="0"/>
    <s v="Fnatic v Team Liquid"/>
    <x v="0"/>
    <x v="0"/>
    <s v="1-2"/>
    <n v="4"/>
    <n v="1.45"/>
    <x v="0"/>
    <n v="1.7999999999999998"/>
    <m/>
  </r>
  <r>
    <x v="8"/>
    <x v="0"/>
    <s v="Sinners +1,5"/>
    <x v="1"/>
    <x v="0"/>
    <s v="HEET v Sinners"/>
    <x v="0"/>
    <x v="0"/>
    <s v="2-1"/>
    <n v="3.68"/>
    <n v="1.6"/>
    <x v="0"/>
    <n v="2.2080000000000006"/>
    <m/>
  </r>
  <r>
    <x v="8"/>
    <x v="0"/>
    <s v="Faze"/>
    <x v="0"/>
    <x v="0"/>
    <s v="Faze v Complexity map 2"/>
    <x v="1"/>
    <x v="0"/>
    <s v="16-14"/>
    <n v="4"/>
    <n v="2.12"/>
    <x v="0"/>
    <n v="4.4800000000000004"/>
    <m/>
  </r>
  <r>
    <x v="8"/>
    <x v="0"/>
    <s v="Mythic"/>
    <x v="0"/>
    <x v="0"/>
    <s v="Mythic v Unjustified Gaming"/>
    <x v="0"/>
    <x v="0"/>
    <s v="2-1"/>
    <n v="4"/>
    <n v="1.5349999999999999"/>
    <x v="0"/>
    <n v="2.1399999999999997"/>
    <m/>
  </r>
  <r>
    <x v="8"/>
    <x v="0"/>
    <s v="Finest"/>
    <x v="0"/>
    <x v="0"/>
    <s v="Team Finest v Illuminar"/>
    <x v="0"/>
    <x v="0"/>
    <s v="2-0"/>
    <n v="4"/>
    <n v="1.675"/>
    <x v="0"/>
    <n v="2.7"/>
    <m/>
  </r>
  <r>
    <x v="9"/>
    <x v="0"/>
    <s v="Outsiders +1,5"/>
    <x v="1"/>
    <x v="0"/>
    <s v="Furia v Outsiders"/>
    <x v="0"/>
    <x v="0"/>
    <s v="1-2"/>
    <n v="4"/>
    <n v="1.36"/>
    <x v="0"/>
    <n v="1.4400000000000004"/>
    <m/>
  </r>
  <r>
    <x v="10"/>
    <x v="0"/>
    <s v="Bluejays"/>
    <x v="0"/>
    <x v="0"/>
    <s v="Bluejays v Masonic map 2"/>
    <x v="0"/>
    <x v="0"/>
    <s v="16-12"/>
    <n v="4"/>
    <n v="1.76"/>
    <x v="0"/>
    <n v="3.04"/>
    <m/>
  </r>
  <r>
    <x v="11"/>
    <x v="0"/>
    <s v="G2 +1,5"/>
    <x v="1"/>
    <x v="0"/>
    <s v="G2 v NaVi"/>
    <x v="0"/>
    <x v="0"/>
    <s v="2-1"/>
    <n v="4"/>
    <n v="1.44"/>
    <x v="0"/>
    <n v="1.7599999999999998"/>
    <m/>
  </r>
  <r>
    <x v="11"/>
    <x v="0"/>
    <s v="Finest +1,5"/>
    <x v="1"/>
    <x v="0"/>
    <s v="Team Finest v Forze"/>
    <x v="0"/>
    <x v="0"/>
    <s v="0-2"/>
    <n v="4"/>
    <n v="1.45"/>
    <x v="1"/>
    <n v="-4"/>
    <m/>
  </r>
  <r>
    <x v="11"/>
    <x v="0"/>
    <s v="Finest"/>
    <x v="0"/>
    <x v="0"/>
    <s v="Team Finest v Forze map 2"/>
    <x v="0"/>
    <x v="0"/>
    <s v="15-19"/>
    <n v="4"/>
    <n v="2.04"/>
    <x v="1"/>
    <n v="-4"/>
    <m/>
  </r>
  <r>
    <x v="11"/>
    <x v="0"/>
    <s v="Skade X"/>
    <x v="0"/>
    <x v="0"/>
    <s v="Skade X v Titans map 1"/>
    <x v="0"/>
    <x v="0"/>
    <s v="10-16"/>
    <n v="4"/>
    <n v="1.92"/>
    <x v="1"/>
    <n v="-4"/>
    <m/>
  </r>
  <r>
    <x v="11"/>
    <x v="0"/>
    <m/>
    <x v="2"/>
    <x v="0"/>
    <s v="Vitality v Outsiders map 2"/>
    <x v="0"/>
    <x v="0"/>
    <s v="19-17"/>
    <n v="4"/>
    <n v="1.45"/>
    <x v="1"/>
    <n v="-4"/>
    <m/>
  </r>
  <r>
    <x v="11"/>
    <x v="0"/>
    <s v="Dynamo Eclot"/>
    <x v="0"/>
    <x v="0"/>
    <s v="Dynamo Eclot v Sangal Esports map 2"/>
    <x v="1"/>
    <x v="0"/>
    <s v="7-16"/>
    <n v="4"/>
    <n v="1.93"/>
    <x v="0"/>
    <n v="3.7199999999999998"/>
    <m/>
  </r>
  <r>
    <x v="11"/>
    <x v="0"/>
    <s v="Dynamo Eclot"/>
    <x v="0"/>
    <x v="0"/>
    <s v="Dynamo Eclot v Sangal Esports map 2"/>
    <x v="1"/>
    <x v="0"/>
    <s v="7-16"/>
    <n v="1.49"/>
    <n v="2.33"/>
    <x v="0"/>
    <n v="1.9817"/>
    <m/>
  </r>
  <r>
    <x v="11"/>
    <x v="0"/>
    <s v="G2"/>
    <x v="0"/>
    <x v="0"/>
    <s v="G2 v NaVi"/>
    <x v="0"/>
    <x v="0"/>
    <s v="2-1"/>
    <n v="4"/>
    <n v="1.85"/>
    <x v="0"/>
    <n v="3.4000000000000004"/>
    <m/>
  </r>
  <r>
    <x v="11"/>
    <x v="0"/>
    <s v="G2"/>
    <x v="0"/>
    <x v="0"/>
    <s v="G2 v NaVimap 2"/>
    <x v="0"/>
    <x v="0"/>
    <s v="16-9"/>
    <n v="4"/>
    <n v="1.82"/>
    <x v="0"/>
    <n v="3.2800000000000002"/>
    <m/>
  </r>
  <r>
    <x v="12"/>
    <x v="0"/>
    <s v="Liquid +1,5"/>
    <x v="1"/>
    <x v="0"/>
    <s v="Team Liquid v Cloud9"/>
    <x v="0"/>
    <x v="0"/>
    <s v="2-1"/>
    <n v="4"/>
    <n v="1.48"/>
    <x v="0"/>
    <n v="1.92"/>
    <m/>
  </r>
  <r>
    <x v="13"/>
    <x v="0"/>
    <s v="Vitality"/>
    <x v="0"/>
    <x v="0"/>
    <s v="Team Liquid v Vitality"/>
    <x v="1"/>
    <x v="0"/>
    <s v="2-3"/>
    <n v="4"/>
    <n v="1.45"/>
    <x v="0"/>
    <n v="1.7999999999999998"/>
    <m/>
  </r>
  <r>
    <x v="13"/>
    <x v="0"/>
    <s v="LDLC"/>
    <x v="0"/>
    <x v="0"/>
    <s v="LDLC v 00Prospects"/>
    <x v="0"/>
    <x v="0"/>
    <s v="1-2"/>
    <n v="4"/>
    <n v="1.31"/>
    <x v="1"/>
    <n v="-4"/>
    <m/>
  </r>
  <r>
    <x v="13"/>
    <x v="0"/>
    <s v="Partizan"/>
    <x v="0"/>
    <x v="0"/>
    <s v="OG Acad v Partizan Esports"/>
    <x v="0"/>
    <x v="0"/>
    <s v="0-2"/>
    <n v="4"/>
    <n v="1.54"/>
    <x v="0"/>
    <n v="2.16"/>
    <m/>
  </r>
  <r>
    <x v="13"/>
    <x v="0"/>
    <s v="Partizan"/>
    <x v="0"/>
    <x v="0"/>
    <s v="OG Acad v Partizan Esports"/>
    <x v="1"/>
    <x v="0"/>
    <s v="0-2"/>
    <n v="4"/>
    <n v="1.85"/>
    <x v="0"/>
    <n v="3.4000000000000004"/>
    <m/>
  </r>
  <r>
    <x v="13"/>
    <x v="0"/>
    <s v="Vitality"/>
    <x v="0"/>
    <x v="0"/>
    <s v="Team Liquid v Vitality map 2"/>
    <x v="1"/>
    <x v="0"/>
    <s v="7-16"/>
    <n v="4"/>
    <n v="1.5"/>
    <x v="0"/>
    <n v="2"/>
    <m/>
  </r>
  <r>
    <x v="13"/>
    <x v="0"/>
    <s v="Vitality"/>
    <x v="0"/>
    <x v="0"/>
    <s v="Team Liquid v Vitality map 3"/>
    <x v="1"/>
    <x v="0"/>
    <s v="25-21"/>
    <n v="4"/>
    <n v="1.73"/>
    <x v="1"/>
    <n v="-4"/>
    <m/>
  </r>
  <r>
    <x v="13"/>
    <x v="0"/>
    <s v="Vitality"/>
    <x v="0"/>
    <x v="0"/>
    <s v="Team Liquid v Vitality"/>
    <x v="1"/>
    <x v="0"/>
    <s v="2-3"/>
    <n v="4"/>
    <n v="1.49"/>
    <x v="0"/>
    <n v="1.96"/>
    <m/>
  </r>
  <r>
    <x v="14"/>
    <x v="0"/>
    <s v="Spirit"/>
    <x v="0"/>
    <x v="0"/>
    <s v="Spirit v 1Win"/>
    <x v="0"/>
    <x v="0"/>
    <s v="16-9"/>
    <n v="6"/>
    <n v="1.55"/>
    <x v="0"/>
    <n v="3.3000000000000003"/>
    <m/>
  </r>
  <r>
    <x v="15"/>
    <x v="0"/>
    <s v="NIP"/>
    <x v="0"/>
    <x v="0"/>
    <s v="NIP v Astralis"/>
    <x v="0"/>
    <x v="0"/>
    <s v="16-12"/>
    <n v="4"/>
    <n v="1.6579999999999999"/>
    <x v="0"/>
    <n v="2.6319999999999997"/>
    <m/>
  </r>
  <r>
    <x v="15"/>
    <x v="0"/>
    <s v="Forze"/>
    <x v="0"/>
    <x v="0"/>
    <s v="Forze v 1Win"/>
    <x v="0"/>
    <x v="0"/>
    <s v="14-16"/>
    <n v="4"/>
    <n v="1.6080000000000001"/>
    <x v="1"/>
    <n v="-4"/>
    <m/>
  </r>
  <r>
    <x v="16"/>
    <x v="0"/>
    <s v="Faze"/>
    <x v="0"/>
    <x v="0"/>
    <s v="Faze v Fnatic"/>
    <x v="0"/>
    <x v="0"/>
    <s v="19-17"/>
    <n v="4"/>
    <n v="1.53"/>
    <x v="0"/>
    <n v="2.12"/>
    <m/>
  </r>
  <r>
    <x v="16"/>
    <x v="0"/>
    <s v="Team One"/>
    <x v="0"/>
    <x v="0"/>
    <s v="O Plano v Team One"/>
    <x v="1"/>
    <x v="0"/>
    <s v="16-10"/>
    <n v="4"/>
    <n v="2.02"/>
    <x v="1"/>
    <n v="-4"/>
    <m/>
  </r>
  <r>
    <x v="17"/>
    <x v="0"/>
    <s v="Forze"/>
    <x v="0"/>
    <x v="0"/>
    <s v="Forze v Ecstatic map 2"/>
    <x v="0"/>
    <x v="0"/>
    <s v="16-7"/>
    <n v="4"/>
    <n v="1.41"/>
    <x v="0"/>
    <n v="1.6399999999999997"/>
    <m/>
  </r>
  <r>
    <x v="17"/>
    <x v="0"/>
    <s v="NaVi"/>
    <x v="0"/>
    <x v="0"/>
    <s v="NaVi v Outsiders"/>
    <x v="0"/>
    <x v="0"/>
    <s v="16-4"/>
    <n v="4"/>
    <n v="1.47"/>
    <x v="0"/>
    <n v="1.88"/>
    <m/>
  </r>
  <r>
    <x v="17"/>
    <x v="0"/>
    <s v="OG"/>
    <x v="0"/>
    <x v="0"/>
    <s v="Falcons v OG"/>
    <x v="0"/>
    <x v="0"/>
    <s v="12-16"/>
    <n v="4"/>
    <n v="1.31"/>
    <x v="0"/>
    <n v="1.2400000000000002"/>
    <m/>
  </r>
  <r>
    <x v="17"/>
    <x v="0"/>
    <s v="Faze"/>
    <x v="0"/>
    <x v="0"/>
    <s v="Faze v Sprout map 2"/>
    <x v="1"/>
    <x v="0"/>
    <s v="16-19"/>
    <n v="4"/>
    <n v="1.89"/>
    <x v="1"/>
    <n v="-4"/>
    <m/>
  </r>
  <r>
    <x v="17"/>
    <x v="0"/>
    <s v="Cloud9"/>
    <x v="0"/>
    <x v="0"/>
    <s v="Cloud9 v NIP map 2"/>
    <x v="1"/>
    <x v="0"/>
    <s v="16-11"/>
    <n v="4"/>
    <n v="1.48"/>
    <x v="0"/>
    <n v="1.92"/>
    <m/>
  </r>
  <r>
    <x v="18"/>
    <x v="0"/>
    <s v="Fnatic"/>
    <x v="0"/>
    <x v="0"/>
    <s v="Fnatic v Eternal Fire"/>
    <x v="0"/>
    <x v="0"/>
    <s v="2-0"/>
    <n v="6"/>
    <n v="1.6579999999999999"/>
    <x v="0"/>
    <n v="3.9479999999999995"/>
    <m/>
  </r>
  <r>
    <x v="18"/>
    <x v="0"/>
    <s v="Bad News Eagles"/>
    <x v="0"/>
    <x v="0"/>
    <s v="Spirit v Bad News Eagles"/>
    <x v="0"/>
    <x v="0"/>
    <s v="2-0"/>
    <n v="4"/>
    <n v="2.17"/>
    <x v="1"/>
    <n v="-4"/>
    <m/>
  </r>
  <r>
    <x v="18"/>
    <x v="0"/>
    <s v="Forze"/>
    <x v="0"/>
    <x v="0"/>
    <s v="Astralis v Forze"/>
    <x v="0"/>
    <x v="0"/>
    <s v="0-2"/>
    <n v="4"/>
    <n v="2.2799999999999998"/>
    <x v="0"/>
    <n v="5.1199999999999992"/>
    <m/>
  </r>
  <r>
    <x v="18"/>
    <x v="0"/>
    <s v="HEET"/>
    <x v="0"/>
    <x v="0"/>
    <s v="HEET v Saw"/>
    <x v="0"/>
    <x v="0"/>
    <s v="2-1"/>
    <n v="4"/>
    <n v="1.6479999999999999"/>
    <x v="0"/>
    <n v="2.5919999999999996"/>
    <m/>
  </r>
  <r>
    <x v="18"/>
    <x v="0"/>
    <s v="Ence"/>
    <x v="0"/>
    <x v="0"/>
    <s v="Ence v Big"/>
    <x v="0"/>
    <x v="0"/>
    <s v="2-0"/>
    <n v="4"/>
    <n v="2.12"/>
    <x v="0"/>
    <n v="4.4800000000000004"/>
    <m/>
  </r>
  <r>
    <x v="18"/>
    <x v="0"/>
    <s v="IHC"/>
    <x v="0"/>
    <x v="0"/>
    <s v="IHC v JiJie International"/>
    <x v="0"/>
    <x v="0"/>
    <s v="2-0"/>
    <n v="4"/>
    <n v="1.73"/>
    <x v="0"/>
    <n v="2.92"/>
    <m/>
  </r>
  <r>
    <x v="18"/>
    <x v="0"/>
    <s v="Complexity"/>
    <x v="0"/>
    <x v="0"/>
    <s v="Complexity v 00Nation"/>
    <x v="0"/>
    <x v="0"/>
    <s v="1-2"/>
    <n v="4"/>
    <n v="1.464"/>
    <x v="1"/>
    <n v="-4"/>
    <m/>
  </r>
  <r>
    <x v="18"/>
    <x v="0"/>
    <s v="G2"/>
    <x v="0"/>
    <x v="0"/>
    <s v="GamerLegion v G2"/>
    <x v="1"/>
    <x v="0"/>
    <s v="2-1"/>
    <n v="4"/>
    <n v="1.6"/>
    <x v="1"/>
    <n v="-4"/>
    <m/>
  </r>
  <r>
    <x v="18"/>
    <x v="0"/>
    <s v="Imperial"/>
    <x v="0"/>
    <x v="0"/>
    <s v="Imperial v Team One map 2"/>
    <x v="1"/>
    <x v="0"/>
    <s v="16-19"/>
    <n v="4"/>
    <n v="2.2200000000000002"/>
    <x v="1"/>
    <n v="-4"/>
    <m/>
  </r>
  <r>
    <x v="19"/>
    <x v="0"/>
    <s v="Grayhound"/>
    <x v="0"/>
    <x v="0"/>
    <s v="IHC v Grayhound"/>
    <x v="0"/>
    <x v="0"/>
    <s v="2-0"/>
    <n v="4"/>
    <n v="2.2959999999999998"/>
    <x v="1"/>
    <n v="-4"/>
    <m/>
  </r>
  <r>
    <x v="19"/>
    <x v="0"/>
    <s v="Grayhound +1,5"/>
    <x v="1"/>
    <x v="0"/>
    <s v="IHC v Grayhound"/>
    <x v="0"/>
    <x v="0"/>
    <s v="2-0"/>
    <n v="6"/>
    <n v="1.41"/>
    <x v="1"/>
    <n v="-6"/>
    <m/>
  </r>
  <r>
    <x v="19"/>
    <x v="0"/>
    <s v="Heroic"/>
    <x v="0"/>
    <x v="0"/>
    <s v="BIG v Heroic"/>
    <x v="0"/>
    <x v="0"/>
    <s v="0-2"/>
    <n v="6"/>
    <n v="1.5049999999999999"/>
    <x v="0"/>
    <n v="3.0299999999999994"/>
    <m/>
  </r>
  <r>
    <x v="19"/>
    <x v="0"/>
    <s v="Mouz +1,5"/>
    <x v="1"/>
    <x v="0"/>
    <s v="Mouz v Vitality"/>
    <x v="0"/>
    <x v="0"/>
    <s v="1-2"/>
    <n v="4"/>
    <n v="1.58"/>
    <x v="0"/>
    <n v="2.3200000000000003"/>
    <m/>
  </r>
  <r>
    <x v="19"/>
    <x v="0"/>
    <s v="Heroic"/>
    <x v="0"/>
    <x v="0"/>
    <s v="BIG v Heroic map 2"/>
    <x v="1"/>
    <x v="0"/>
    <s v="12-16"/>
    <n v="4"/>
    <n v="1.69"/>
    <x v="0"/>
    <n v="2.76"/>
    <m/>
  </r>
  <r>
    <x v="19"/>
    <x v="0"/>
    <s v="Vitality"/>
    <x v="0"/>
    <x v="0"/>
    <s v="Mouz v Vitality"/>
    <x v="1"/>
    <x v="0"/>
    <s v="1-2"/>
    <n v="4"/>
    <n v="1.49"/>
    <x v="0"/>
    <n v="1.96"/>
    <m/>
  </r>
  <r>
    <x v="20"/>
    <x v="0"/>
    <s v="JiJiehao Int"/>
    <x v="1"/>
    <x v="0"/>
    <s v="JiJie International v Grayhound"/>
    <x v="0"/>
    <x v="0"/>
    <s v="0-2"/>
    <n v="4"/>
    <n v="1.49"/>
    <x v="1"/>
    <n v="-4"/>
    <m/>
  </r>
  <r>
    <x v="20"/>
    <x v="2"/>
    <s v="Under 42"/>
    <x v="5"/>
    <x v="1"/>
    <s v="Green Bay Packers v  NY Giants"/>
    <x v="0"/>
    <x v="0"/>
    <s v="22-27"/>
    <n v="4"/>
    <n v="1.8"/>
    <x v="1"/>
    <n v="-4"/>
    <m/>
  </r>
  <r>
    <x v="20"/>
    <x v="0"/>
    <s v="Imperial"/>
    <x v="0"/>
    <x v="0"/>
    <s v="Imperial v Pain map 2"/>
    <x v="1"/>
    <x v="0"/>
    <s v="16-19"/>
    <n v="6"/>
    <n v="1.39"/>
    <x v="0"/>
    <n v="2.3399999999999994"/>
    <m/>
  </r>
  <r>
    <x v="20"/>
    <x v="0"/>
    <s v="Cloud9"/>
    <x v="0"/>
    <x v="0"/>
    <s v="Team Spirit v Cloud9 map 2"/>
    <x v="1"/>
    <x v="0"/>
    <s v="16-8"/>
    <n v="6"/>
    <n v="1.84"/>
    <x v="1"/>
    <n v="-6"/>
    <m/>
  </r>
  <r>
    <x v="20"/>
    <x v="0"/>
    <s v="Sangal"/>
    <x v="0"/>
    <x v="0"/>
    <s v="Mouz v Sangal map 1"/>
    <x v="1"/>
    <x v="0"/>
    <s v="19-16"/>
    <n v="6"/>
    <n v="2.0699999999999998"/>
    <x v="1"/>
    <n v="-6"/>
    <m/>
  </r>
  <r>
    <x v="20"/>
    <x v="0"/>
    <s v="Mouz"/>
    <x v="0"/>
    <x v="0"/>
    <s v="Mouz v Sangal map 2"/>
    <x v="1"/>
    <x v="0"/>
    <s v="9-16"/>
    <n v="8"/>
    <n v="1.93"/>
    <x v="1"/>
    <n v="-8"/>
    <m/>
  </r>
  <r>
    <x v="20"/>
    <x v="0"/>
    <s v="Cloud9"/>
    <x v="0"/>
    <x v="0"/>
    <s v="Spirit v Cloud9"/>
    <x v="1"/>
    <x v="0"/>
    <s v="2-1"/>
    <n v="9.07"/>
    <n v="1.47"/>
    <x v="1"/>
    <n v="-9.07"/>
    <m/>
  </r>
  <r>
    <x v="20"/>
    <x v="0"/>
    <s v="Heroic"/>
    <x v="0"/>
    <x v="0"/>
    <s v="OG v Heroic"/>
    <x v="1"/>
    <x v="0"/>
    <s v="1-2"/>
    <n v="4"/>
    <n v="1.39"/>
    <x v="0"/>
    <n v="1.5599999999999996"/>
    <m/>
  </r>
  <r>
    <x v="20"/>
    <x v="0"/>
    <s v="Complexity"/>
    <x v="0"/>
    <x v="0"/>
    <s v="Complexity v Imperial map 2"/>
    <x v="1"/>
    <x v="0"/>
    <s v="16-11"/>
    <n v="4"/>
    <n v="1.61"/>
    <x v="0"/>
    <n v="2.4400000000000004"/>
    <m/>
  </r>
  <r>
    <x v="21"/>
    <x v="0"/>
    <s v="IKLA"/>
    <x v="0"/>
    <x v="0"/>
    <s v="IKLA v Into the Breach"/>
    <x v="0"/>
    <x v="0"/>
    <s v="-"/>
    <n v="4"/>
    <n v="1.712"/>
    <x v="3"/>
    <n v="0"/>
    <m/>
  </r>
  <r>
    <x v="21"/>
    <x v="0"/>
    <s v="Tricked"/>
    <x v="0"/>
    <x v="0"/>
    <s v="Tricked v needDoctor map 1"/>
    <x v="1"/>
    <x v="0"/>
    <s v="16-9"/>
    <n v="8"/>
    <n v="1.56"/>
    <x v="0"/>
    <n v="4.4800000000000004"/>
    <m/>
  </r>
  <r>
    <x v="21"/>
    <x v="0"/>
    <s v="Avangar"/>
    <x v="0"/>
    <x v="0"/>
    <s v="Avangar v Anonymo"/>
    <x v="0"/>
    <x v="0"/>
    <s v="2-0"/>
    <n v="4"/>
    <n v="1.62"/>
    <x v="0"/>
    <n v="2.4800000000000004"/>
    <m/>
  </r>
  <r>
    <x v="21"/>
    <x v="0"/>
    <s v="needDoctor"/>
    <x v="0"/>
    <x v="0"/>
    <s v="Tricked v needDoctor map 2"/>
    <x v="1"/>
    <x v="0"/>
    <s v="16-12"/>
    <n v="4"/>
    <n v="2.0099999999999998"/>
    <x v="1"/>
    <n v="-4"/>
    <m/>
  </r>
  <r>
    <x v="21"/>
    <x v="0"/>
    <s v="LDLC +1,5"/>
    <x v="1"/>
    <x v="0"/>
    <s v="LDLC v HEET"/>
    <x v="0"/>
    <x v="0"/>
    <s v="-"/>
    <n v="4"/>
    <n v="1.6559999999999999"/>
    <x v="3"/>
    <n v="0"/>
    <m/>
  </r>
  <r>
    <x v="21"/>
    <x v="0"/>
    <s v="Avangar"/>
    <x v="0"/>
    <x v="0"/>
    <s v="Cryptova v Avangar map 1"/>
    <x v="1"/>
    <x v="0"/>
    <s v="14-16"/>
    <n v="4"/>
    <n v="1.54"/>
    <x v="0"/>
    <n v="2.16"/>
    <m/>
  </r>
  <r>
    <x v="21"/>
    <x v="3"/>
    <s v="Wave +0,5"/>
    <x v="1"/>
    <x v="0"/>
    <s v="Wave Tsunami v Alternate aTTax"/>
    <x v="0"/>
    <x v="0"/>
    <s v="1-1"/>
    <n v="4"/>
    <n v="1.58"/>
    <x v="0"/>
    <n v="2.3200000000000003"/>
    <m/>
  </r>
  <r>
    <x v="21"/>
    <x v="0"/>
    <s v="Forsaken"/>
    <x v="0"/>
    <x v="0"/>
    <s v="Los Kogutos v Forsaken"/>
    <x v="1"/>
    <x v="0"/>
    <s v="16-11"/>
    <n v="4"/>
    <n v="1.88"/>
    <x v="1"/>
    <n v="-4"/>
    <m/>
  </r>
  <r>
    <x v="21"/>
    <x v="0"/>
    <s v="Los Kogutos"/>
    <x v="0"/>
    <x v="0"/>
    <s v="Avez v Los Kogutos"/>
    <x v="1"/>
    <x v="0"/>
    <s v="2-1"/>
    <n v="4"/>
    <n v="1.43"/>
    <x v="1"/>
    <n v="-4"/>
    <m/>
  </r>
  <r>
    <x v="21"/>
    <x v="0"/>
    <s v="Avangar"/>
    <x v="0"/>
    <x v="0"/>
    <s v="Cryptova v Avangar map 2"/>
    <x v="1"/>
    <x v="0"/>
    <s v="16-14"/>
    <n v="4"/>
    <n v="1.93"/>
    <x v="1"/>
    <n v="-4"/>
    <m/>
  </r>
  <r>
    <x v="22"/>
    <x v="0"/>
    <s v="Eyeballers +1,5"/>
    <x v="1"/>
    <x v="0"/>
    <s v="Ecstatic v Eyeballers"/>
    <x v="0"/>
    <x v="0"/>
    <s v="0-2"/>
    <n v="4"/>
    <n v="1.38"/>
    <x v="0"/>
    <n v="1.5199999999999996"/>
    <m/>
  </r>
  <r>
    <x v="22"/>
    <x v="0"/>
    <s v="Partizan +1,5"/>
    <x v="1"/>
    <x v="0"/>
    <s v="IKLA v Partizan"/>
    <x v="0"/>
    <x v="0"/>
    <s v="2-0"/>
    <n v="4"/>
    <n v="1.51"/>
    <x v="1"/>
    <n v="-4"/>
    <m/>
  </r>
  <r>
    <x v="22"/>
    <x v="0"/>
    <s v="Tricked"/>
    <x v="0"/>
    <x v="0"/>
    <s v="Tricked v 9ine"/>
    <x v="0"/>
    <x v="0"/>
    <s v="2-0"/>
    <n v="2"/>
    <n v="1.83"/>
    <x v="0"/>
    <n v="1.6600000000000001"/>
    <m/>
  </r>
  <r>
    <x v="22"/>
    <x v="0"/>
    <s v="Wolsung"/>
    <x v="0"/>
    <x v="0"/>
    <s v="eSuba v Wolsung map 1"/>
    <x v="1"/>
    <x v="0"/>
    <s v="16-14"/>
    <n v="4"/>
    <n v="1.43"/>
    <x v="1"/>
    <n v="-4"/>
    <m/>
  </r>
  <r>
    <x v="22"/>
    <x v="0"/>
    <s v="Skade"/>
    <x v="0"/>
    <x v="0"/>
    <s v="Skade v Ungentium"/>
    <x v="1"/>
    <x v="0"/>
    <s v="16-11"/>
    <n v="4"/>
    <n v="1.49"/>
    <x v="0"/>
    <n v="1.96"/>
    <m/>
  </r>
  <r>
    <x v="22"/>
    <x v="0"/>
    <s v="Sprout"/>
    <x v="0"/>
    <x v="0"/>
    <s v="Finest v Sprout map 1"/>
    <x v="1"/>
    <x v="0"/>
    <s v="19-16"/>
    <n v="4"/>
    <n v="1.91"/>
    <x v="1"/>
    <n v="-4"/>
    <m/>
  </r>
  <r>
    <x v="22"/>
    <x v="0"/>
    <s v="Tricked"/>
    <x v="0"/>
    <x v="0"/>
    <s v="Tricked v 9ine map 1"/>
    <x v="1"/>
    <x v="0"/>
    <s v="16-13"/>
    <n v="8"/>
    <n v="1.8440000000000001"/>
    <x v="0"/>
    <n v="6.7520000000000007"/>
    <m/>
  </r>
  <r>
    <x v="22"/>
    <x v="0"/>
    <s v="Sprout"/>
    <x v="0"/>
    <x v="0"/>
    <s v="Finest v Sprout map 2"/>
    <x v="1"/>
    <x v="0"/>
    <s v="10-16"/>
    <n v="8"/>
    <n v="1.62"/>
    <x v="0"/>
    <n v="4.9600000000000009"/>
    <m/>
  </r>
  <r>
    <x v="22"/>
    <x v="0"/>
    <s v="Sprout"/>
    <x v="0"/>
    <x v="0"/>
    <s v="Finest v Sprout"/>
    <x v="1"/>
    <x v="0"/>
    <s v="2-1"/>
    <n v="4"/>
    <n v="2.33"/>
    <x v="1"/>
    <n v="-4"/>
    <m/>
  </r>
  <r>
    <x v="22"/>
    <x v="0"/>
    <s v="Tricked"/>
    <x v="0"/>
    <x v="0"/>
    <s v="Tricked v 9ine map 2"/>
    <x v="1"/>
    <x v="0"/>
    <s v="16-7"/>
    <n v="4"/>
    <n v="2.08"/>
    <x v="0"/>
    <n v="4.32"/>
    <m/>
  </r>
  <r>
    <x v="22"/>
    <x v="0"/>
    <s v="Into the Breach"/>
    <x v="0"/>
    <x v="0"/>
    <s v="IKLA v Into the Breach map 1"/>
    <x v="1"/>
    <x v="0"/>
    <s v="9-16"/>
    <n v="4"/>
    <n v="1.96"/>
    <x v="0"/>
    <n v="3.84"/>
    <m/>
  </r>
  <r>
    <x v="23"/>
    <x v="0"/>
    <s v="Into the Breach"/>
    <x v="0"/>
    <x v="0"/>
    <s v="Into the Breach v Titans"/>
    <x v="0"/>
    <x v="0"/>
    <s v="2-1"/>
    <n v="4"/>
    <n v="1.55"/>
    <x v="0"/>
    <n v="2.2000000000000002"/>
    <m/>
  </r>
  <r>
    <x v="23"/>
    <x v="0"/>
    <s v="Antic"/>
    <x v="0"/>
    <x v="0"/>
    <s v="Antic v Yellow"/>
    <x v="0"/>
    <x v="0"/>
    <s v="2-0"/>
    <n v="4"/>
    <n v="1.46"/>
    <x v="0"/>
    <n v="1.8399999999999999"/>
    <m/>
  </r>
  <r>
    <x v="23"/>
    <x v="0"/>
    <s v="Saw"/>
    <x v="0"/>
    <x v="0"/>
    <s v="Dynamo Eclot v Saw"/>
    <x v="0"/>
    <x v="0"/>
    <s v="0-2"/>
    <n v="4"/>
    <n v="1.96"/>
    <x v="0"/>
    <n v="3.84"/>
    <m/>
  </r>
  <r>
    <x v="23"/>
    <x v="0"/>
    <s v="Fnatic Rising"/>
    <x v="0"/>
    <x v="0"/>
    <s v="Fnatic Rising v IKLA map 2"/>
    <x v="1"/>
    <x v="0"/>
    <s v="22-18"/>
    <n v="4"/>
    <n v="2.19"/>
    <x v="0"/>
    <n v="4.76"/>
    <m/>
  </r>
  <r>
    <x v="23"/>
    <x v="0"/>
    <s v="Fnatic Rising"/>
    <x v="0"/>
    <x v="0"/>
    <s v="Fnatic Rising v OG Acad"/>
    <x v="0"/>
    <x v="0"/>
    <s v="16-10"/>
    <n v="4"/>
    <n v="1.476"/>
    <x v="0"/>
    <n v="1.9039999999999999"/>
    <m/>
  </r>
  <r>
    <x v="23"/>
    <x v="0"/>
    <s v="Ago"/>
    <x v="0"/>
    <x v="0"/>
    <s v="Ago v Pact"/>
    <x v="0"/>
    <x v="0"/>
    <s v="2-0"/>
    <n v="4"/>
    <n v="1.77"/>
    <x v="0"/>
    <n v="3.08"/>
    <m/>
  </r>
  <r>
    <x v="23"/>
    <x v="0"/>
    <s v="Partizan"/>
    <x v="0"/>
    <x v="0"/>
    <s v="Blink v Partizan"/>
    <x v="0"/>
    <x v="0"/>
    <s v="0-2"/>
    <n v="4"/>
    <n v="1.556"/>
    <x v="0"/>
    <n v="2.2240000000000002"/>
    <m/>
  </r>
  <r>
    <x v="23"/>
    <x v="0"/>
    <s v="Titans"/>
    <x v="0"/>
    <x v="0"/>
    <s v="Into the Breach v Titans map 2"/>
    <x v="1"/>
    <x v="0"/>
    <s v="17-19"/>
    <n v="4"/>
    <n v="1.47"/>
    <x v="0"/>
    <n v="1.88"/>
    <m/>
  </r>
  <r>
    <x v="24"/>
    <x v="0"/>
    <s v="Tricked"/>
    <x v="0"/>
    <x v="0"/>
    <s v="Alternate v Tricked"/>
    <x v="0"/>
    <x v="0"/>
    <s v="0-2"/>
    <n v="4"/>
    <n v="1.68"/>
    <x v="0"/>
    <n v="2.7199999999999998"/>
    <m/>
  </r>
  <r>
    <x v="24"/>
    <x v="4"/>
    <s v="Under 5,5"/>
    <x v="5"/>
    <x v="1"/>
    <s v="Ducks v Kraken"/>
    <x v="0"/>
    <x v="0"/>
    <s v="5-4"/>
    <n v="4"/>
    <n v="2.0720000000000001"/>
    <x v="1"/>
    <n v="-4"/>
    <m/>
  </r>
  <r>
    <x v="24"/>
    <x v="0"/>
    <s v="Ago"/>
    <x v="0"/>
    <x v="0"/>
    <s v="Ago v Avez"/>
    <x v="0"/>
    <x v="0"/>
    <s v="2-0"/>
    <n v="4"/>
    <n v="1.3560000000000001"/>
    <x v="0"/>
    <n v="1.4240000000000004"/>
    <m/>
  </r>
  <r>
    <x v="24"/>
    <x v="5"/>
    <s v="Wildcard +2,5"/>
    <x v="2"/>
    <x v="1"/>
    <s v="Dire Wolves v Wildcard"/>
    <x v="0"/>
    <x v="0"/>
    <s v="7-2"/>
    <n v="4"/>
    <n v="1.65"/>
    <x v="1"/>
    <n v="-4"/>
    <m/>
  </r>
  <r>
    <x v="24"/>
    <x v="0"/>
    <s v="Fnatic Rising"/>
    <x v="0"/>
    <x v="0"/>
    <s v="Iron Wolves v Fnatic Rising"/>
    <x v="0"/>
    <x v="0"/>
    <s v="1-2"/>
    <n v="4"/>
    <n v="1.768"/>
    <x v="0"/>
    <n v="3.0720000000000001"/>
    <m/>
  </r>
  <r>
    <x v="24"/>
    <x v="5"/>
    <s v="XSET"/>
    <x v="0"/>
    <x v="1"/>
    <s v="XSET v DarkZero"/>
    <x v="0"/>
    <x v="0"/>
    <s v="1-7"/>
    <n v="4"/>
    <n v="2.19"/>
    <x v="1"/>
    <n v="-4"/>
    <m/>
  </r>
  <r>
    <x v="25"/>
    <x v="0"/>
    <s v="Into the Breach"/>
    <x v="0"/>
    <x v="0"/>
    <s v="Into the Breach v 00Prospects"/>
    <x v="0"/>
    <x v="0"/>
    <s v="1-2"/>
    <n v="4"/>
    <n v="1.738"/>
    <x v="1"/>
    <n v="-4"/>
    <m/>
  </r>
  <r>
    <x v="25"/>
    <x v="0"/>
    <s v="Into the Breach +8,5"/>
    <x v="2"/>
    <x v="0"/>
    <s v="Into the Breach v 00Prospects map 3"/>
    <x v="1"/>
    <x v="0"/>
    <s v="12-16"/>
    <n v="4"/>
    <n v="1.58"/>
    <x v="0"/>
    <n v="2.3200000000000003"/>
    <m/>
  </r>
  <r>
    <x v="25"/>
    <x v="0"/>
    <s v="Young Ninjas"/>
    <x v="0"/>
    <x v="0"/>
    <s v="Young Ninjas v Spirit Acad"/>
    <x v="0"/>
    <x v="0"/>
    <s v="16-10"/>
    <n v="4"/>
    <n v="1.69"/>
    <x v="0"/>
    <n v="2.76"/>
    <m/>
  </r>
  <r>
    <x v="25"/>
    <x v="0"/>
    <s v="00Prospects +1,5"/>
    <x v="1"/>
    <x v="0"/>
    <s v="Eyeballers v 00Prospects"/>
    <x v="0"/>
    <x v="0"/>
    <s v="2-0"/>
    <n v="4"/>
    <n v="1.47"/>
    <x v="1"/>
    <n v="-4"/>
    <m/>
  </r>
  <r>
    <x v="25"/>
    <x v="0"/>
    <s v="Fnatic Rising"/>
    <x v="0"/>
    <x v="0"/>
    <s v="Aurora v Fnatic Rising"/>
    <x v="0"/>
    <x v="0"/>
    <s v="0-2"/>
    <n v="4"/>
    <n v="1.736"/>
    <x v="0"/>
    <n v="2.944"/>
    <m/>
  </r>
  <r>
    <x v="25"/>
    <x v="0"/>
    <s v="Pain"/>
    <x v="0"/>
    <x v="0"/>
    <s v="Pain v Masonic"/>
    <x v="1"/>
    <x v="0"/>
    <s v="2-1"/>
    <n v="4"/>
    <n v="1.38"/>
    <x v="0"/>
    <n v="1.5199999999999996"/>
    <m/>
  </r>
  <r>
    <x v="25"/>
    <x v="0"/>
    <s v="Pain"/>
    <x v="0"/>
    <x v="0"/>
    <s v="Pain v Masonic map 1"/>
    <x v="1"/>
    <x v="0"/>
    <s v="16-9"/>
    <n v="4"/>
    <n v="1.56"/>
    <x v="0"/>
    <n v="2.2400000000000002"/>
    <m/>
  </r>
  <r>
    <x v="25"/>
    <x v="0"/>
    <s v="Bluejays"/>
    <x v="0"/>
    <x v="0"/>
    <s v="Titans v Bluejays"/>
    <x v="0"/>
    <x v="0"/>
    <s v="1-2"/>
    <n v="4"/>
    <n v="1.7"/>
    <x v="0"/>
    <n v="2.8"/>
    <m/>
  </r>
  <r>
    <x v="25"/>
    <x v="0"/>
    <s v="Fluxo"/>
    <x v="0"/>
    <x v="0"/>
    <s v="Team One v Fluxo"/>
    <x v="0"/>
    <x v="0"/>
    <s v="1-2"/>
    <n v="4"/>
    <n v="1.524"/>
    <x v="0"/>
    <n v="2.0960000000000001"/>
    <m/>
  </r>
  <r>
    <x v="25"/>
    <x v="0"/>
    <s v="Sprout"/>
    <x v="0"/>
    <x v="0"/>
    <s v="Entropiq v Sprout map 1"/>
    <x v="1"/>
    <x v="0"/>
    <s v="12-16"/>
    <n v="4"/>
    <n v="1.58"/>
    <x v="0"/>
    <n v="2.3200000000000003"/>
    <m/>
  </r>
  <r>
    <x v="25"/>
    <x v="0"/>
    <s v="Pain"/>
    <x v="0"/>
    <x v="0"/>
    <s v="Pain v Masonic"/>
    <x v="1"/>
    <x v="0"/>
    <s v="2-1"/>
    <n v="4"/>
    <n v="1.5"/>
    <x v="0"/>
    <n v="2"/>
    <m/>
  </r>
  <r>
    <x v="25"/>
    <x v="0"/>
    <s v="Ago"/>
    <x v="0"/>
    <x v="0"/>
    <s v="Ago v Ungetium"/>
    <x v="1"/>
    <x v="0"/>
    <s v="2-1"/>
    <n v="4"/>
    <n v="2.12"/>
    <x v="0"/>
    <n v="4.4800000000000004"/>
    <m/>
  </r>
  <r>
    <x v="25"/>
    <x v="1"/>
    <s v="G2"/>
    <x v="0"/>
    <x v="0"/>
    <s v="G2 v Evil Geniuses"/>
    <x v="0"/>
    <x v="0"/>
    <s v="2-15"/>
    <n v="8"/>
    <n v="1.38"/>
    <x v="1"/>
    <n v="-8"/>
    <m/>
  </r>
  <r>
    <x v="26"/>
    <x v="0"/>
    <s v="Tricked"/>
    <x v="0"/>
    <x v="0"/>
    <s v="Tricked v Astralis Talent"/>
    <x v="0"/>
    <x v="0"/>
    <s v="1-2"/>
    <n v="4"/>
    <n v="1.3"/>
    <x v="1"/>
    <n v="-4"/>
    <m/>
  </r>
  <r>
    <x v="26"/>
    <x v="0"/>
    <s v="Tricked -1,5"/>
    <x v="1"/>
    <x v="0"/>
    <s v="Tricked v Astralis Talent"/>
    <x v="0"/>
    <x v="0"/>
    <s v="1-2"/>
    <n v="2"/>
    <n v="1.96"/>
    <x v="1"/>
    <n v="-2"/>
    <m/>
  </r>
  <r>
    <x v="26"/>
    <x v="0"/>
    <s v="Fnatic"/>
    <x v="0"/>
    <x v="0"/>
    <s v="Aurora v Fnatic Rising"/>
    <x v="0"/>
    <x v="0"/>
    <s v="0-2"/>
    <n v="4"/>
    <n v="1.53"/>
    <x v="0"/>
    <n v="2.12"/>
    <m/>
  </r>
  <r>
    <x v="26"/>
    <x v="0"/>
    <s v="Eternal Fire"/>
    <x v="0"/>
    <x v="0"/>
    <s v="Movistar Riders v Eternal Fire map 1"/>
    <x v="1"/>
    <x v="0"/>
    <s v="10-16"/>
    <n v="4"/>
    <n v="1.52"/>
    <x v="0"/>
    <n v="2.08"/>
    <m/>
  </r>
  <r>
    <x v="26"/>
    <x v="0"/>
    <s v="9ine"/>
    <x v="0"/>
    <x v="0"/>
    <s v="9ine v Titans map 1"/>
    <x v="1"/>
    <x v="0"/>
    <s v="16-10"/>
    <n v="4"/>
    <n v="1.69"/>
    <x v="0"/>
    <n v="2.76"/>
    <m/>
  </r>
  <r>
    <x v="26"/>
    <x v="0"/>
    <s v="Esuba"/>
    <x v="0"/>
    <x v="0"/>
    <s v="Esuba v Entropiq map 2"/>
    <x v="1"/>
    <x v="0"/>
    <s v="16-13"/>
    <n v="4"/>
    <n v="1.48"/>
    <x v="0"/>
    <n v="1.92"/>
    <m/>
  </r>
  <r>
    <x v="26"/>
    <x v="0"/>
    <s v="Titans"/>
    <x v="0"/>
    <x v="0"/>
    <s v="9ine v Titans map 2"/>
    <x v="1"/>
    <x v="0"/>
    <s v="16-19"/>
    <n v="4"/>
    <n v="1.7"/>
    <x v="0"/>
    <n v="2.8"/>
    <m/>
  </r>
  <r>
    <x v="26"/>
    <x v="0"/>
    <s v="Ex-Skade"/>
    <x v="0"/>
    <x v="0"/>
    <s v="Copenhagen Flames v Ex-Skade map 1"/>
    <x v="1"/>
    <x v="0"/>
    <s v="13-16"/>
    <n v="4"/>
    <n v="2.7"/>
    <x v="0"/>
    <n v="6.8000000000000007"/>
    <m/>
  </r>
  <r>
    <x v="26"/>
    <x v="0"/>
    <s v="Movistar Riders"/>
    <x v="0"/>
    <x v="0"/>
    <s v="Movistar Riders v Eternal Fire map 2"/>
    <x v="1"/>
    <x v="0"/>
    <s v="12-16"/>
    <n v="4"/>
    <n v="1.7"/>
    <x v="1"/>
    <n v="-4"/>
    <m/>
  </r>
  <r>
    <x v="26"/>
    <x v="0"/>
    <s v="Fnatic Rising"/>
    <x v="0"/>
    <x v="0"/>
    <s v="Aurora v Fnatic Rising map 1"/>
    <x v="1"/>
    <x v="0"/>
    <s v="3-16"/>
    <n v="4"/>
    <n v="1.6080000000000001"/>
    <x v="0"/>
    <n v="2.4320000000000004"/>
    <m/>
  </r>
  <r>
    <x v="26"/>
    <x v="0"/>
    <s v="Titans"/>
    <x v="0"/>
    <x v="0"/>
    <s v="9ine v Titans"/>
    <x v="1"/>
    <x v="0"/>
    <s v="2-1"/>
    <n v="4"/>
    <n v="1.81"/>
    <x v="1"/>
    <n v="-4"/>
    <m/>
  </r>
  <r>
    <x v="26"/>
    <x v="0"/>
    <s v="Ex-Skade"/>
    <x v="0"/>
    <x v="0"/>
    <s v="Copenhagen Flames v Ex-Skade map 2"/>
    <x v="1"/>
    <x v="0"/>
    <s v="14-16"/>
    <n v="4"/>
    <n v="1.49"/>
    <x v="0"/>
    <n v="1.96"/>
    <m/>
  </r>
  <r>
    <x v="26"/>
    <x v="0"/>
    <s v="Fnatic Rising"/>
    <x v="0"/>
    <x v="0"/>
    <s v="Aurora v Fnatic Rising map 2"/>
    <x v="1"/>
    <x v="0"/>
    <s v="7-16"/>
    <n v="4"/>
    <n v="1.65"/>
    <x v="0"/>
    <n v="2.5999999999999996"/>
    <m/>
  </r>
  <r>
    <x v="26"/>
    <x v="0"/>
    <s v="K23"/>
    <x v="0"/>
    <x v="0"/>
    <s v="K23 v Sprout map 1"/>
    <x v="1"/>
    <x v="0"/>
    <s v="16-10"/>
    <n v="4"/>
    <n v="1.86"/>
    <x v="0"/>
    <n v="3.4400000000000004"/>
    <m/>
  </r>
  <r>
    <x v="26"/>
    <x v="0"/>
    <s v="GTZ"/>
    <x v="1"/>
    <x v="0"/>
    <s v="GTZ v Case"/>
    <x v="0"/>
    <x v="0"/>
    <s v="1-x"/>
    <n v="4"/>
    <n v="1.52"/>
    <x v="0"/>
    <n v="2.08"/>
    <m/>
  </r>
  <r>
    <x v="26"/>
    <x v="0"/>
    <s v="MIBR"/>
    <x v="0"/>
    <x v="0"/>
    <s v="MIBR v 9z map 2"/>
    <x v="1"/>
    <x v="0"/>
    <s v="19-16"/>
    <n v="4"/>
    <n v="1.59"/>
    <x v="0"/>
    <n v="2.3600000000000003"/>
    <m/>
  </r>
  <r>
    <x v="26"/>
    <x v="0"/>
    <s v="Copenhagen Flames"/>
    <x v="0"/>
    <x v="0"/>
    <s v="Sangal v Copenhagen Flames map 2"/>
    <x v="1"/>
    <x v="0"/>
    <s v="19-21"/>
    <n v="4"/>
    <n v="1.41"/>
    <x v="0"/>
    <n v="1.6399999999999997"/>
    <m/>
  </r>
  <r>
    <x v="26"/>
    <x v="0"/>
    <s v="MIBR"/>
    <x v="0"/>
    <x v="0"/>
    <s v="MIBR v 9z"/>
    <x v="1"/>
    <x v="0"/>
    <s v="1-2"/>
    <n v="4"/>
    <n v="1.92"/>
    <x v="1"/>
    <n v="-4"/>
    <m/>
  </r>
  <r>
    <x v="26"/>
    <x v="0"/>
    <s v="Tricked"/>
    <x v="0"/>
    <x v="0"/>
    <s v="Astralis Talent v Tricked"/>
    <x v="0"/>
    <x v="0"/>
    <s v="2-1"/>
    <n v="4"/>
    <n v="1.544"/>
    <x v="1"/>
    <n v="-4"/>
    <m/>
  </r>
  <r>
    <x v="27"/>
    <x v="0"/>
    <s v="Mouz"/>
    <x v="0"/>
    <x v="0"/>
    <s v="Mouz v Outsiders"/>
    <x v="0"/>
    <x v="0"/>
    <s v="1-2"/>
    <n v="4"/>
    <n v="1.66"/>
    <x v="1"/>
    <n v="-4"/>
    <m/>
  </r>
  <r>
    <x v="27"/>
    <x v="0"/>
    <s v="NIP -1,5"/>
    <x v="1"/>
    <x v="0"/>
    <s v="Eyeballers v NiP"/>
    <x v="0"/>
    <x v="0"/>
    <s v="0-2"/>
    <n v="4"/>
    <n v="1.4119999999999999"/>
    <x v="0"/>
    <n v="1.6479999999999997"/>
    <m/>
  </r>
  <r>
    <x v="27"/>
    <x v="0"/>
    <s v="Fnatic Rising"/>
    <x v="0"/>
    <x v="0"/>
    <s v="Fnatic Rising v 00Prospects"/>
    <x v="0"/>
    <x v="0"/>
    <s v="2-1"/>
    <n v="4"/>
    <n v="1.4750000000000001"/>
    <x v="0"/>
    <n v="1.9000000000000004"/>
    <m/>
  </r>
  <r>
    <x v="27"/>
    <x v="0"/>
    <s v="Mouz"/>
    <x v="0"/>
    <x v="0"/>
    <s v="Mouz v Outsiders map 2"/>
    <x v="1"/>
    <x v="0"/>
    <s v="9-16"/>
    <n v="4"/>
    <n v="3.31"/>
    <x v="1"/>
    <n v="-4"/>
    <m/>
  </r>
  <r>
    <x v="27"/>
    <x v="0"/>
    <s v="IKLA"/>
    <x v="0"/>
    <x v="0"/>
    <s v="Bluejays v IKLA"/>
    <x v="1"/>
    <x v="0"/>
    <s v="16-10"/>
    <n v="4"/>
    <n v="2.27"/>
    <x v="1"/>
    <n v="-4"/>
    <m/>
  </r>
  <r>
    <x v="27"/>
    <x v="0"/>
    <s v="needDoctor"/>
    <x v="0"/>
    <x v="0"/>
    <s v="Needdoctor v X"/>
    <x v="0"/>
    <x v="0"/>
    <s v="2-0"/>
    <n v="4"/>
    <n v="1.47"/>
    <x v="0"/>
    <n v="1.88"/>
    <m/>
  </r>
  <r>
    <x v="27"/>
    <x v="0"/>
    <s v="Ence"/>
    <x v="0"/>
    <x v="0"/>
    <s v="Ence v Eternal Fire map 1"/>
    <x v="1"/>
    <x v="0"/>
    <s v="11-16"/>
    <n v="4"/>
    <n v="1.87"/>
    <x v="1"/>
    <n v="-4"/>
    <m/>
  </r>
  <r>
    <x v="27"/>
    <x v="0"/>
    <s v="Esuba +2,5"/>
    <x v="1"/>
    <x v="0"/>
    <s v="Eclot v Esuba"/>
    <x v="0"/>
    <x v="0"/>
    <s v="3-1"/>
    <n v="4"/>
    <n v="1.7"/>
    <x v="0"/>
    <n v="2.8"/>
    <m/>
  </r>
  <r>
    <x v="27"/>
    <x v="0"/>
    <s v="Fnatic Rising"/>
    <x v="0"/>
    <x v="0"/>
    <s v="Fnatic Rising v 00Prospects map 1"/>
    <x v="1"/>
    <x v="0"/>
    <s v="2-16"/>
    <n v="4"/>
    <n v="2.78"/>
    <x v="1"/>
    <n v="-4"/>
    <m/>
  </r>
  <r>
    <x v="27"/>
    <x v="0"/>
    <s v="Pain"/>
    <x v="0"/>
    <x v="0"/>
    <s v="Pain v Imperial map 1"/>
    <x v="1"/>
    <x v="0"/>
    <s v="16-13"/>
    <n v="4"/>
    <n v="2.2799999999999998"/>
    <x v="0"/>
    <n v="5.1199999999999992"/>
    <m/>
  </r>
  <r>
    <x v="27"/>
    <x v="0"/>
    <s v="Esuba"/>
    <x v="0"/>
    <x v="0"/>
    <s v="Eclot v Esuba map 3"/>
    <x v="1"/>
    <x v="0"/>
    <s v="11-16"/>
    <n v="4"/>
    <n v="1.96"/>
    <x v="0"/>
    <n v="3.84"/>
    <m/>
  </r>
  <r>
    <x v="27"/>
    <x v="0"/>
    <s v="Ence"/>
    <x v="0"/>
    <x v="0"/>
    <s v="Ence v Eternal Fire map 2"/>
    <x v="1"/>
    <x v="0"/>
    <s v="16-14"/>
    <n v="4"/>
    <n v="1.8"/>
    <x v="0"/>
    <n v="3.2"/>
    <m/>
  </r>
  <r>
    <x v="27"/>
    <x v="0"/>
    <s v="Ence"/>
    <x v="0"/>
    <x v="0"/>
    <s v="Ence v Eternal Fire"/>
    <x v="1"/>
    <x v="0"/>
    <s v="2-1"/>
    <n v="4"/>
    <n v="1.58"/>
    <x v="0"/>
    <n v="2.3200000000000003"/>
    <m/>
  </r>
  <r>
    <x v="27"/>
    <x v="0"/>
    <s v="NIP -1,5"/>
    <x v="1"/>
    <x v="0"/>
    <s v="Eyeballers v NiP"/>
    <x v="0"/>
    <x v="0"/>
    <s v="0-2"/>
    <n v="4"/>
    <n v="1.4550000000000001"/>
    <x v="0"/>
    <n v="1.8200000000000003"/>
    <m/>
  </r>
  <r>
    <x v="27"/>
    <x v="0"/>
    <s v="Outsiders"/>
    <x v="0"/>
    <x v="0"/>
    <s v="Outsiders v Ence"/>
    <x v="0"/>
    <x v="0"/>
    <s v="2-0"/>
    <n v="4"/>
    <n v="1.97"/>
    <x v="0"/>
    <n v="3.88"/>
    <m/>
  </r>
  <r>
    <x v="27"/>
    <x v="0"/>
    <s v="9z"/>
    <x v="0"/>
    <x v="0"/>
    <s v="Spirit v 9z"/>
    <x v="1"/>
    <x v="0"/>
    <s v="16-12"/>
    <n v="4"/>
    <n v="1.81"/>
    <x v="1"/>
    <n v="-4"/>
    <m/>
  </r>
  <r>
    <x v="27"/>
    <x v="6"/>
    <s v="Manchester City"/>
    <x v="0"/>
    <x v="0"/>
    <s v="Liverpool v Manchester City"/>
    <x v="0"/>
    <x v="0"/>
    <s v="1-0"/>
    <n v="4"/>
    <n v="2.12"/>
    <x v="1"/>
    <n v="-4"/>
    <m/>
  </r>
  <r>
    <x v="27"/>
    <x v="0"/>
    <s v="Mouz Nxt"/>
    <x v="0"/>
    <x v="0"/>
    <s v="Mouz Nxt"/>
    <x v="1"/>
    <x v="0"/>
    <s v="16-13"/>
    <n v="4"/>
    <n v="2.39"/>
    <x v="0"/>
    <n v="5.5600000000000005"/>
    <m/>
  </r>
  <r>
    <x v="27"/>
    <x v="0"/>
    <s v="00Prospects"/>
    <x v="0"/>
    <x v="0"/>
    <s v="Astralis Talent v 00Prospects"/>
    <x v="1"/>
    <x v="0"/>
    <s v="19-17"/>
    <n v="4"/>
    <n v="1.86"/>
    <x v="1"/>
    <n v="-4"/>
    <m/>
  </r>
  <r>
    <x v="27"/>
    <x v="0"/>
    <s v="Spirit"/>
    <x v="0"/>
    <x v="0"/>
    <s v="Pain v Spirit"/>
    <x v="1"/>
    <x v="0"/>
    <s v="16-12"/>
    <n v="4"/>
    <n v="1.32"/>
    <x v="1"/>
    <n v="-4"/>
    <m/>
  </r>
  <r>
    <x v="27"/>
    <x v="0"/>
    <s v="Pain +5,5"/>
    <x v="2"/>
    <x v="0"/>
    <s v="Pain v Spirit map 2"/>
    <x v="1"/>
    <x v="0"/>
    <s v="8-16"/>
    <n v="4"/>
    <n v="1.45"/>
    <x v="1"/>
    <n v="-4"/>
    <m/>
  </r>
  <r>
    <x v="27"/>
    <x v="0"/>
    <s v="needDoctor"/>
    <x v="0"/>
    <x v="0"/>
    <s v="Needdoctor v OneTap"/>
    <x v="1"/>
    <x v="0"/>
    <s v="1-2"/>
    <n v="4"/>
    <n v="2.58"/>
    <x v="1"/>
    <n v="-4"/>
    <m/>
  </r>
  <r>
    <x v="27"/>
    <x v="0"/>
    <s v="Vendetta +1,5"/>
    <x v="1"/>
    <x v="0"/>
    <s v="Billionaires v Vendetta"/>
    <x v="0"/>
    <x v="0"/>
    <s v="1-2"/>
    <n v="4"/>
    <n v="1.53"/>
    <x v="0"/>
    <n v="2.12"/>
    <m/>
  </r>
  <r>
    <x v="28"/>
    <x v="0"/>
    <s v="Ex-Skade +1,5"/>
    <x v="1"/>
    <x v="0"/>
    <s v="Sangal v Ex-Skade"/>
    <x v="0"/>
    <x v="0"/>
    <s v="2-0"/>
    <n v="4"/>
    <n v="1.45"/>
    <x v="1"/>
    <n v="-4"/>
    <m/>
  </r>
  <r>
    <x v="28"/>
    <x v="0"/>
    <s v="Bluejays +1,5"/>
    <x v="1"/>
    <x v="0"/>
    <s v="Bluejays v Into the Breach"/>
    <x v="1"/>
    <x v="0"/>
    <s v="2-0"/>
    <n v="4"/>
    <n v="1.39"/>
    <x v="0"/>
    <n v="1.5599999999999996"/>
    <m/>
  </r>
  <r>
    <x v="28"/>
    <x v="0"/>
    <s v="Ex-Skade"/>
    <x v="0"/>
    <x v="0"/>
    <s v="Sangal v Ex-Skade map 2"/>
    <x v="1"/>
    <x v="0"/>
    <s v="16-7"/>
    <n v="4"/>
    <n v="2.16"/>
    <x v="1"/>
    <n v="-4"/>
    <m/>
  </r>
  <r>
    <x v="28"/>
    <x v="0"/>
    <s v="Ex-Skade"/>
    <x v="0"/>
    <x v="0"/>
    <s v="Sangal v Ex-Skade map 2"/>
    <x v="1"/>
    <x v="1"/>
    <s v="16-7"/>
    <n v="11.46"/>
    <n v="1.95"/>
    <x v="1"/>
    <n v="0"/>
    <m/>
  </r>
  <r>
    <x v="28"/>
    <x v="6"/>
    <s v="Over 3,5"/>
    <x v="5"/>
    <x v="2"/>
    <s v="Goteborg"/>
    <x v="1"/>
    <x v="0"/>
    <s v="2-1"/>
    <n v="0.51"/>
    <n v="4.87"/>
    <x v="1"/>
    <n v="-0.51"/>
    <m/>
  </r>
  <r>
    <x v="28"/>
    <x v="6"/>
    <s v="Fiorentina Over 1"/>
    <x v="5"/>
    <x v="2"/>
    <s v="Lecce v Fiorentina"/>
    <x v="1"/>
    <x v="0"/>
    <s v="1-1"/>
    <n v="4"/>
    <n v="2.29"/>
    <x v="3"/>
    <n v="0"/>
    <m/>
  </r>
  <r>
    <x v="28"/>
    <x v="0"/>
    <s v="Ago"/>
    <x v="0"/>
    <x v="0"/>
    <s v="Ago v 9ine"/>
    <x v="1"/>
    <x v="0"/>
    <s v="16-19"/>
    <n v="4"/>
    <n v="1.42"/>
    <x v="1"/>
    <n v="-4"/>
    <m/>
  </r>
  <r>
    <x v="28"/>
    <x v="0"/>
    <s v="Villainous Union"/>
    <x v="0"/>
    <x v="0"/>
    <s v="Victorum v Villainous Union"/>
    <x v="0"/>
    <x v="0"/>
    <m/>
    <n v="4"/>
    <n v="1.41"/>
    <x v="4"/>
    <n v="0"/>
    <m/>
  </r>
  <r>
    <x v="28"/>
    <x v="5"/>
    <s v="Tyde +3,5"/>
    <x v="2"/>
    <x v="1"/>
    <s v="Gaimin Gladiators v Tyde"/>
    <x v="0"/>
    <x v="0"/>
    <m/>
    <n v="4"/>
    <n v="1.68"/>
    <x v="4"/>
    <n v="0"/>
    <m/>
  </r>
  <r>
    <x v="28"/>
    <x v="4"/>
    <s v="Winnipeg Jets -2,5"/>
    <x v="5"/>
    <x v="1"/>
    <s v="Dallas Stars v Winnipeg Jets"/>
    <x v="0"/>
    <x v="0"/>
    <m/>
    <n v="4"/>
    <n v="1.96"/>
    <x v="4"/>
    <n v="0"/>
    <m/>
  </r>
  <r>
    <x v="28"/>
    <x v="6"/>
    <s v="Over 1"/>
    <x v="5"/>
    <x v="2"/>
    <s v="Sol de America v Club Libertad"/>
    <x v="1"/>
    <x v="0"/>
    <s v="1-0"/>
    <n v="4"/>
    <n v="1.95"/>
    <x v="3"/>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2-09-20T00:00:00"/>
    <x v="0"/>
    <n v="50"/>
  </r>
  <r>
    <d v="2022-10-09T00:00:00"/>
    <x v="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059282-C12B-4822-98AA-5FB2E2F2524F}" name="PTProfitPerDayLastWeek" cacheId="13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3:O32" firstHeaderRow="1" firstDataRow="1" firstDataCol="1"/>
  <pivotFields count="16">
    <pivotField axis="axisRow" numFmtId="14" showAll="0" sortType="descending">
      <items count="30">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Items count="1">
    <i/>
  </colItems>
  <dataFields count="1">
    <dataField name="Sum of Profit" fld="12" baseField="0" baseItem="0" numFmtId="164"/>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A56744-9F5A-481D-8A9A-56DCA1EA303B}" name="PTProfit"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e">
  <location ref="A3:B33" firstHeaderRow="1" firstDataRow="1" firstDataCol="1"/>
  <pivotFields count="16">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extLst>
        <ext xmlns:x14="http://schemas.microsoft.com/office/spreadsheetml/2009/9/main" uri="{2946ED86-A175-432a-8AC1-64E0C546D7DE}">
          <x14:pivotField fillDownLabels="1"/>
        </ext>
      </extLst>
    </pivotField>
    <pivotField showAll="0">
      <items count="9">
        <item x="0"/>
        <item x="6"/>
        <item x="1"/>
        <item x="2"/>
        <item x="4"/>
        <item m="1" x="7"/>
        <item x="5"/>
        <item x="3"/>
        <item t="default"/>
      </items>
    </pivotField>
    <pivotField showAll="0"/>
    <pivotField showAll="0">
      <items count="7">
        <item x="3"/>
        <item x="1"/>
        <item x="2"/>
        <item x="4"/>
        <item x="5"/>
        <item x="0"/>
        <item t="default"/>
      </items>
    </pivotField>
    <pivotField showAll="0">
      <items count="4">
        <item x="1"/>
        <item x="0"/>
        <item x="2"/>
        <item t="default"/>
      </items>
    </pivotField>
    <pivotField showAll="0"/>
    <pivotField showAll="0"/>
    <pivotField showAll="0"/>
    <pivotField showAll="0"/>
    <pivotField showAll="0"/>
    <pivotField showAll="0"/>
    <pivotField showAll="0"/>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Profit Of Day" fld="12" baseField="0" baseItem="0"/>
  </dataFields>
  <formats count="3">
    <format dxfId="38">
      <pivotArea outline="0" collapsedLevelsAreSubtotals="1" fieldPosition="0"/>
    </format>
    <format dxfId="37">
      <pivotArea field="0" type="button" dataOnly="0" labelOnly="1" outline="0" axis="axisRow" fieldPosition="0"/>
    </format>
    <format dxfId="3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83A7B0-F8C4-45C3-8543-12A4D2297EBA}" name="PTBonusBet"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G7" firstHeaderRow="0"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axis="axisRow" dataField="1" showAll="0">
      <items count="5">
        <item x="1"/>
        <item m="1" x="2"/>
        <item m="1" x="3"/>
        <item x="0"/>
        <item t="default"/>
      </items>
    </pivotField>
    <pivotField showAll="0"/>
    <pivotField showAll="0"/>
    <pivotField showAll="0"/>
    <pivotField showAll="0"/>
    <pivotField dataField="1"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7"/>
  </rowFields>
  <rowItems count="3">
    <i>
      <x/>
    </i>
    <i>
      <x v="3"/>
    </i>
    <i t="grand">
      <x/>
    </i>
  </rowItems>
  <colFields count="1">
    <field x="-2"/>
  </colFields>
  <colItems count="2">
    <i>
      <x/>
    </i>
    <i i="1">
      <x v="1"/>
    </i>
  </colItems>
  <dataFields count="2">
    <dataField name="Sum of Profit" fld="12" baseField="0" baseItem="0" numFmtId="164"/>
    <dataField name="Count of BB" fld="7" subtotal="count" baseField="0" baseItem="0"/>
  </dataFields>
  <formats count="1">
    <format dxfId="39">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158EE7-8206-47B0-9437-D97607776BB8}" name="PTMovement" cacheId="13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1:H12" firstHeaderRow="1" firstDataRow="1" firstDataCol="1"/>
  <pivotFields count="3">
    <pivotField numFmtId="15" showAll="0"/>
    <pivotField axis="axisRow" showAll="0">
      <items count="3">
        <item x="0"/>
        <item m="1" x="1"/>
        <item t="default"/>
      </items>
    </pivotField>
    <pivotField dataField="1" numFmtId="164" showAll="0"/>
  </pivotFields>
  <rowFields count="1">
    <field x="1"/>
  </rowFields>
  <rowItems count="1">
    <i>
      <x/>
    </i>
  </rowItems>
  <colItems count="1">
    <i/>
  </colItems>
  <dataFields count="1">
    <dataField name="Sum of Value" fld="2" baseField="0" baseItem="0" numFmtId="165"/>
  </dataFields>
  <formats count="1">
    <format dxfId="4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0ABBCE2-FB3D-4111-9F68-66568BA69CD0}" name="PTAvgOdd"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Z7"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9">
        <item x="0"/>
        <item x="6"/>
        <item x="1"/>
        <item x="2"/>
        <item x="4"/>
        <item m="1" x="7"/>
        <item x="5"/>
        <item x="3"/>
        <item t="default"/>
      </items>
    </pivotField>
    <pivotField showAll="0"/>
    <pivotField showAll="0">
      <items count="7">
        <item x="3"/>
        <item x="1"/>
        <item x="2"/>
        <item x="4"/>
        <item x="5"/>
        <item x="0"/>
        <item t="default"/>
      </items>
    </pivotField>
    <pivotField showAll="0">
      <items count="4">
        <item x="1"/>
        <item x="0"/>
        <item x="2"/>
        <item t="default"/>
      </items>
    </pivotField>
    <pivotField showAll="0"/>
    <pivotField showAll="0"/>
    <pivotField showAll="0"/>
    <pivotField showAll="0"/>
    <pivotField showAll="0"/>
    <pivotField dataField="1" showAll="0"/>
    <pivotField axis="axisRow" showAll="0">
      <items count="6">
        <item h="1" x="2"/>
        <item x="1"/>
        <item h="1" x="4"/>
        <item x="3"/>
        <item x="0"/>
        <item t="default"/>
      </items>
    </pivotField>
    <pivotField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4">
    <i>
      <x v="1"/>
    </i>
    <i>
      <x v="3"/>
    </i>
    <i>
      <x v="4"/>
    </i>
    <i t="grand">
      <x/>
    </i>
  </rowItems>
  <colItems count="1">
    <i/>
  </colItems>
  <dataFields count="1">
    <dataField name="Average of Odds" fld="10" subtotal="average" baseField="10" baseItem="0" numFmtId="2"/>
  </dataFields>
  <formats count="1">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B055B60-7067-4D77-AE79-8AF9FA2966A4}" name="PTWinRate"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7:H30"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9">
        <item x="0"/>
        <item x="6"/>
        <item x="1"/>
        <item x="2"/>
        <item x="4"/>
        <item m="1" x="7"/>
        <item x="5"/>
        <item x="3"/>
        <item t="default"/>
      </items>
    </pivotField>
    <pivotField showAll="0"/>
    <pivotField showAll="0">
      <items count="7">
        <item x="3"/>
        <item x="1"/>
        <item x="2"/>
        <item x="4"/>
        <item x="5"/>
        <item x="0"/>
        <item t="default"/>
      </items>
    </pivotField>
    <pivotField showAll="0">
      <items count="4">
        <item x="1"/>
        <item x="0"/>
        <item x="2"/>
        <item t="default"/>
      </items>
    </pivotField>
    <pivotField showAll="0"/>
    <pivotField showAll="0"/>
    <pivotField showAll="0"/>
    <pivotField showAll="0"/>
    <pivotField showAll="0"/>
    <pivotField showAll="0"/>
    <pivotField axis="axisRow" showAll="0" sortType="descending">
      <items count="6">
        <item x="0"/>
        <item h="1" x="3"/>
        <item h="1" x="4"/>
        <item x="1"/>
        <item h="1" x="2"/>
        <item t="default"/>
      </items>
    </pivotField>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i>
    <i>
      <x v="3"/>
    </i>
    <i t="grand">
      <x/>
    </i>
  </rowItems>
  <colItems count="1">
    <i/>
  </colItems>
  <dataFields count="1">
    <dataField name="Count of Profit" fld="12" subtotal="count" baseField="10" baseItem="3"/>
  </dataFields>
  <formats count="2">
    <format dxfId="43">
      <pivotArea outline="0" collapsedLevelsAreSubtotals="1" fieldPosition="0"/>
    </format>
    <format dxfId="42">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1" count="1" selected="0">
            <x v="3"/>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E487CB-2AB4-4EDA-8F63-6259FCF3F40F}" name="PTStake"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33" firstHeaderRow="1" firstDataRow="1" firstDataCol="1"/>
  <pivotFields count="16">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9">
        <item x="0"/>
        <item x="6"/>
        <item x="1"/>
        <item x="2"/>
        <item x="4"/>
        <item m="1" x="7"/>
        <item x="5"/>
        <item x="3"/>
        <item t="default"/>
      </items>
    </pivotField>
    <pivotField showAll="0"/>
    <pivotField showAll="0">
      <items count="7">
        <item x="3"/>
        <item x="1"/>
        <item x="2"/>
        <item x="4"/>
        <item x="5"/>
        <item x="0"/>
        <item t="default"/>
      </items>
    </pivotField>
    <pivotField showAll="0">
      <items count="4">
        <item x="1"/>
        <item x="0"/>
        <item x="2"/>
        <item t="default"/>
      </items>
    </pivotField>
    <pivotField showAll="0"/>
    <pivotField showAll="0"/>
    <pivotField showAll="0"/>
    <pivotField showAll="0"/>
    <pivotField dataField="1" showAll="0"/>
    <pivotField showAll="0"/>
    <pivotField showAll="0"/>
    <pivotField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tak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CA4AF2B-44F8-4302-9A06-AC2EB08EEFC6}" name="PTProfitByTipster"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16:R20"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9">
        <item x="0"/>
        <item x="6"/>
        <item x="1"/>
        <item x="2"/>
        <item x="4"/>
        <item m="1" x="7"/>
        <item x="5"/>
        <item x="3"/>
        <item t="default"/>
      </items>
    </pivotField>
    <pivotField showAll="0"/>
    <pivotField showAll="0">
      <items count="7">
        <item x="3"/>
        <item x="1"/>
        <item x="2"/>
        <item x="4"/>
        <item x="5"/>
        <item x="0"/>
        <item t="default"/>
      </items>
    </pivotField>
    <pivotField axis="axisRow" showAll="0" sortType="descending">
      <items count="4">
        <item x="2"/>
        <item x="0"/>
        <item x="1"/>
        <item t="default"/>
      </items>
    </pivotField>
    <pivotField showAll="0"/>
    <pivotField showAll="0"/>
    <pivotField showAll="0"/>
    <pivotField showAll="0"/>
    <pivotField showAll="0"/>
    <pivotField showAll="0"/>
    <pivotField showAll="0"/>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4">
    <i>
      <x/>
    </i>
    <i>
      <x v="1"/>
    </i>
    <i>
      <x v="2"/>
    </i>
    <i t="grand">
      <x/>
    </i>
  </rowItems>
  <colItems count="1">
    <i/>
  </colItems>
  <dataFields count="1">
    <dataField name="Sum of Profit" fld="12" baseField="0" baseItem="0" numFmtId="164"/>
  </dataFields>
  <formats count="1">
    <format dxfId="44">
      <pivotArea outline="0" collapsedLevelsAreSubtotals="1" fieldPosition="0">
        <references count="1">
          <reference field="4294967294" count="1" selected="0">
            <x v="0"/>
          </reference>
        </references>
      </pivotArea>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4" count="1" selected="0">
            <x v="1"/>
          </reference>
        </references>
      </pivotArea>
    </chartFormat>
    <chartFormat chart="8" format="4">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DE8148-5A14-43C9-B27A-BAE03B46FA56}" name="PTProfitBySport" cacheId="130"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4">
  <location ref="K3:L11"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showAll="0">
      <items count="9">
        <item x="0"/>
        <item x="1"/>
        <item x="2"/>
        <item x="4"/>
        <item x="5"/>
        <item x="3"/>
        <item m="1" x="7"/>
        <item x="6"/>
        <item t="default"/>
      </items>
    </pivotField>
    <pivotField showAll="0"/>
    <pivotField showAll="0">
      <items count="7">
        <item x="3"/>
        <item x="1"/>
        <item x="2"/>
        <item x="4"/>
        <item x="5"/>
        <item x="0"/>
        <item t="default"/>
      </items>
    </pivotField>
    <pivotField showAll="0">
      <items count="4">
        <item x="1"/>
        <item x="0"/>
        <item x="2"/>
        <item t="default"/>
      </items>
    </pivotField>
    <pivotField showAll="0"/>
    <pivotField showAll="0"/>
    <pivotField showAll="0"/>
    <pivotField showAll="0"/>
    <pivotField showAll="0"/>
    <pivotField showAll="0"/>
    <pivotField showAll="0"/>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8">
    <i>
      <x/>
    </i>
    <i>
      <x v="1"/>
    </i>
    <i>
      <x v="2"/>
    </i>
    <i>
      <x v="3"/>
    </i>
    <i>
      <x v="4"/>
    </i>
    <i>
      <x v="5"/>
    </i>
    <i>
      <x v="7"/>
    </i>
    <i t="grand">
      <x/>
    </i>
  </rowItems>
  <colItems count="1">
    <i/>
  </colItems>
  <dataFields count="1">
    <dataField name="Sum of Profit" fld="12" baseField="0" baseItem="0" numFmtId="164"/>
  </dataFields>
  <formats count="1">
    <format dxfId="4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181C96E-EE3A-478D-82A0-8E627EFFBD55}" name="PTLive"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2:H25"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9">
        <item x="0"/>
        <item x="6"/>
        <item x="1"/>
        <item x="2"/>
        <item x="4"/>
        <item m="1" x="7"/>
        <item x="5"/>
        <item x="3"/>
        <item t="default"/>
      </items>
    </pivotField>
    <pivotField showAll="0"/>
    <pivotField showAll="0">
      <items count="7">
        <item x="3"/>
        <item x="1"/>
        <item x="2"/>
        <item x="4"/>
        <item x="5"/>
        <item x="0"/>
        <item t="default"/>
      </items>
    </pivotField>
    <pivotField showAll="0">
      <items count="4">
        <item x="1"/>
        <item x="0"/>
        <item x="2"/>
        <item t="default"/>
      </items>
    </pivotField>
    <pivotField showAll="0"/>
    <pivotField axis="axisRow" showAll="0">
      <items count="3">
        <item n="Pre-Game" sd="0" x="0"/>
        <item n="Live" sd="0" x="1"/>
        <item t="default"/>
      </items>
    </pivotField>
    <pivotField showAll="0"/>
    <pivotField showAll="0"/>
    <pivotField showAll="0"/>
    <pivotField showAll="0"/>
    <pivotField showAll="0"/>
    <pivotField dataField="1"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Profit" fld="12" baseField="0" baseItem="0" numFmtId="164"/>
  </dataFields>
  <formats count="1">
    <format dxfId="46">
      <pivotArea outline="0" collapsedLevelsAreSubtotals="1" fieldPosition="0"/>
    </format>
  </format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6" count="1" selected="0">
            <x v="0"/>
          </reference>
        </references>
      </pivotArea>
    </chartFormat>
    <chartFormat chart="7"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9284D54-6A02-4239-9AF9-329D5431998A}" name="PTPendingBets"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I7" firstHeaderRow="0"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showAll="0"/>
    <pivotField showAll="0"/>
    <pivotField dataField="1" showAll="0"/>
    <pivotField showAll="0"/>
    <pivotField axis="axisRow" dataField="1" showAll="0">
      <items count="6">
        <item h="1" x="2"/>
        <item h="1" x="1"/>
        <item x="4"/>
        <item h="1" x="3"/>
        <item h="1" x="0"/>
        <item t="default"/>
      </items>
    </pivotField>
    <pivotField numFmtId="164"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2"/>
  </colFields>
  <colItems count="2">
    <i>
      <x/>
    </i>
    <i i="1">
      <x v="1"/>
    </i>
  </colItems>
  <dataFields count="2">
    <dataField name="Count of Win" fld="11" subtotal="count" baseField="0" baseItem="0"/>
    <dataField name="Sum of Stake" fld="9" baseField="0" baseItem="0" numFmtId="164"/>
  </dataFields>
  <formats count="1">
    <format dxfId="4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4223400-81AC-44EE-A129-2846BFFBB3B9}" name="PTBetType" cacheId="130"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3">
  <location ref="V3:W10" firstHeaderRow="1" firstDataRow="1" firstDataCol="1"/>
  <pivotFields count="16">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9">
        <item x="0"/>
        <item x="6"/>
        <item x="1"/>
        <item x="2"/>
        <item x="4"/>
        <item m="1" x="7"/>
        <item x="5"/>
        <item x="3"/>
        <item t="default"/>
      </items>
    </pivotField>
    <pivotField showAll="0"/>
    <pivotField axis="axisRow" showAll="0" sortType="descending">
      <items count="7">
        <item x="0"/>
        <item x="5"/>
        <item x="4"/>
        <item x="2"/>
        <item x="1"/>
        <item x="3"/>
        <item t="default"/>
      </items>
    </pivotField>
    <pivotField showAll="0">
      <items count="4">
        <item x="1"/>
        <item x="0"/>
        <item x="2"/>
        <item t="default"/>
      </items>
    </pivotField>
    <pivotField showAll="0"/>
    <pivotField showAll="0"/>
    <pivotField showAll="0"/>
    <pivotField showAll="0"/>
    <pivotField showAll="0"/>
    <pivotField showAll="0"/>
    <pivotField showAll="0"/>
    <pivotField dataField="1" numFmtId="164"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7">
    <i>
      <x/>
    </i>
    <i>
      <x v="1"/>
    </i>
    <i>
      <x v="2"/>
    </i>
    <i>
      <x v="3"/>
    </i>
    <i>
      <x v="4"/>
    </i>
    <i>
      <x v="5"/>
    </i>
    <i t="grand">
      <x/>
    </i>
  </rowItems>
  <colItems count="1">
    <i/>
  </colItems>
  <dataFields count="1">
    <dataField name="Sum of Profit" fld="12" baseField="0" baseItem="0" numFmtId="164"/>
  </dataFields>
  <formats count="22">
    <format dxfId="69">
      <pivotArea outline="0" collapsedLevelsAreSubtotals="1" fieldPosition="0"/>
    </format>
    <format dxfId="68">
      <pivotArea type="all" dataOnly="0" outline="0" fieldPosition="0"/>
    </format>
    <format dxfId="67">
      <pivotArea outline="0" collapsedLevelsAreSubtotals="1" fieldPosition="0"/>
    </format>
    <format dxfId="66">
      <pivotArea field="3" type="button" dataOnly="0" labelOnly="1" outline="0" axis="axisRow" fieldPosition="0"/>
    </format>
    <format dxfId="65">
      <pivotArea dataOnly="0" labelOnly="1" fieldPosition="0">
        <references count="1">
          <reference field="3" count="0"/>
        </references>
      </pivotArea>
    </format>
    <format dxfId="64">
      <pivotArea dataOnly="0" labelOnly="1" grandRow="1" outline="0" fieldPosition="0"/>
    </format>
    <format dxfId="63">
      <pivotArea dataOnly="0" labelOnly="1" outline="0" axis="axisValues" fieldPosition="0"/>
    </format>
    <format dxfId="62">
      <pivotArea collapsedLevelsAreSubtotals="1" fieldPosition="0">
        <references count="1">
          <reference field="3" count="0"/>
        </references>
      </pivotArea>
    </format>
    <format dxfId="61">
      <pivotArea dataOnly="0" labelOnly="1" fieldPosition="0">
        <references count="1">
          <reference field="3" count="0"/>
        </references>
      </pivotArea>
    </format>
    <format dxfId="60">
      <pivotArea grandRow="1" outline="0" collapsedLevelsAreSubtotals="1" fieldPosition="0"/>
    </format>
    <format dxfId="59">
      <pivotArea dataOnly="0" labelOnly="1" grandRow="1" outline="0" fieldPosition="0"/>
    </format>
    <format dxfId="58">
      <pivotArea type="all" dataOnly="0" outline="0" fieldPosition="0"/>
    </format>
    <format dxfId="57">
      <pivotArea dataOnly="0" labelOnly="1" fieldPosition="0">
        <references count="1">
          <reference field="3" count="0"/>
        </references>
      </pivotArea>
    </format>
    <format dxfId="56">
      <pivotArea dataOnly="0" labelOnly="1" grandRow="1" outline="0" fieldPosition="0"/>
    </format>
    <format dxfId="55">
      <pivotArea field="3" type="button" dataOnly="0" labelOnly="1" outline="0" axis="axisRow" fieldPosition="0"/>
    </format>
    <format dxfId="54">
      <pivotArea dataOnly="0" labelOnly="1" outline="0" axis="axisValues" fieldPosition="0"/>
    </format>
    <format dxfId="53">
      <pivotArea collapsedLevelsAreSubtotals="1" fieldPosition="0">
        <references count="1">
          <reference field="3" count="0"/>
        </references>
      </pivotArea>
    </format>
    <format dxfId="52">
      <pivotArea dataOnly="0" labelOnly="1" fieldPosition="0">
        <references count="1">
          <reference field="3" count="0"/>
        </references>
      </pivotArea>
    </format>
    <format dxfId="51">
      <pivotArea grandRow="1" outline="0" collapsedLevelsAreSubtotals="1" fieldPosition="0"/>
    </format>
    <format dxfId="50">
      <pivotArea dataOnly="0" labelOnly="1" grandRow="1" outline="0" fieldPosition="0"/>
    </format>
    <format dxfId="49">
      <pivotArea outline="0" collapsedLevelsAreSubtotals="1" fieldPosition="0"/>
    </format>
    <format dxfId="48">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CAC515C-25CD-4559-8A9B-B16E9A07843A}" sourceName="Months (Date)">
  <pivotTables>
    <pivotTable tabId="8" name="PTProfit"/>
    <pivotTable tabId="8" name="PTAvgOdd"/>
    <pivotTable tabId="8" name="PTBetType"/>
    <pivotTable tabId="8" name="PTLive"/>
    <pivotTable tabId="8" name="PTProfitBySport"/>
    <pivotTable tabId="8" name="PTProfitByTipster"/>
    <pivotTable tabId="8" name="PTWinRate"/>
    <pivotTable tabId="8" name="PTStake"/>
  </pivotTables>
  <data>
    <tabular pivotCacheId="2095489388">
      <items count="14">
        <i x="9" s="1"/>
        <i x="10" s="1"/>
        <i x="1" s="1" nd="1"/>
        <i x="2" s="1" nd="1"/>
        <i x="3" s="1" nd="1"/>
        <i x="4" s="1" nd="1"/>
        <i x="5" s="1" nd="1"/>
        <i x="6" s="1" nd="1"/>
        <i x="7" s="1" nd="1"/>
        <i x="8"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0F34BD5C-D1BE-4480-BCD8-D73BF7FC9E66}" sourceName="Sport">
  <pivotTables>
    <pivotTable tabId="8" name="PTStake"/>
    <pivotTable tabId="8" name="PTProfit"/>
    <pivotTable tabId="8" name="PTAvgOdd"/>
    <pivotTable tabId="8" name="PTBetType"/>
    <pivotTable tabId="8" name="PTLive"/>
    <pivotTable tabId="8" name="PTProfitByTipster"/>
    <pivotTable tabId="8" name="PTWinRate"/>
  </pivotTables>
  <data>
    <tabular pivotCacheId="2095489388">
      <items count="8">
        <i x="0" s="1"/>
        <i x="6" s="1"/>
        <i x="1" s="1"/>
        <i x="2" s="1"/>
        <i x="4" s="1"/>
        <i x="5" s="1"/>
        <i x="3"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ster" xr10:uid="{A5F259F9-44DF-481D-9B87-33408D85A75C}" sourceName="Tipster">
  <pivotTables>
    <pivotTable tabId="8" name="PTProfit"/>
    <pivotTable tabId="8" name="PTAvgOdd"/>
    <pivotTable tabId="8" name="PTBetType"/>
    <pivotTable tabId="8" name="PTLive"/>
    <pivotTable tabId="8" name="PTProfitBySport"/>
    <pivotTable tabId="8" name="PTStake"/>
    <pivotTable tabId="8" name="PTWinRate"/>
  </pivotTables>
  <data>
    <tabular pivotCacheId="2095489388" sortOrder="descending">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t_Type" xr10:uid="{8D3C1D66-3158-4A19-A43C-0E02F3CE7E55}" sourceName="Bet Type">
  <pivotTables>
    <pivotTable tabId="8" name="PTProfit"/>
    <pivotTable tabId="8" name="PTAvgOdd"/>
    <pivotTable tabId="8" name="PTLive"/>
    <pivotTable tabId="8" name="PTProfitBySport"/>
    <pivotTable tabId="8" name="PTProfitByTipster"/>
    <pivotTable tabId="8" name="PTStake"/>
    <pivotTable tabId="8" name="PTWinRate"/>
  </pivotTables>
  <data>
    <tabular pivotCacheId="2095489388" sortOrder="descending">
      <items count="6">
        <i x="0" s="1"/>
        <i x="5"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16244C1D-9EBF-4D53-A1E6-786AA886AFC1}" cache="Slicer_Months__Date" caption="Months" columnCount="2" style="SlicerStyleDark6 2" rowHeight="257175"/>
  <slicer name="Sport" xr10:uid="{0C278636-9C71-4479-8C00-B85460C18470}" cache="Slicer_Sport" caption="Sport" columnCount="2" style="SlicerStyleDark6 2" rowHeight="257175"/>
  <slicer name="Tipster" xr10:uid="{ACAB5BEA-E335-4F20-A1BA-4B4939DFB841}" cache="Slicer_Tipster" caption="Tipster" columnCount="3" style="SlicerStyleDark6 2" rowHeight="257175"/>
  <slicer name="Bet Type" xr10:uid="{221EDBF5-56D5-4978-85D1-28B48ADFE96B}" cache="Slicer_Bet_Type" caption="Bet Type" columnCount="2" style="SlicerStyleDark6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D46F94-D56B-4C6B-B14A-A9F957309B6F}" name="TableBets" displayName="TableBets" ref="A1:N251" headerRowDxfId="103" dataDxfId="102">
  <autoFilter ref="A1:N251" xr:uid="{CDD46F94-D56B-4C6B-B14A-A9F957309B6F}"/>
  <tableColumns count="14">
    <tableColumn id="1" xr3:uid="{D560C312-3502-42C5-91D2-1A388E82C9A7}" name="Date" totalsRowLabel="Total" dataDxfId="101" totalsRowDxfId="100"/>
    <tableColumn id="3" xr3:uid="{24F8D3D7-6F63-4882-986A-B62254B71459}" name="Sport" dataDxfId="99" totalsRowDxfId="98"/>
    <tableColumn id="15" xr3:uid="{46858432-F192-46EB-9114-E477474886A7}" name="Selection" dataDxfId="97" totalsRowDxfId="96"/>
    <tableColumn id="5" xr3:uid="{462C87B8-970F-4581-92A3-F732E064CD1E}" name="Bet Type" dataDxfId="95" totalsRowDxfId="94"/>
    <tableColumn id="6" xr3:uid="{F96257B8-7FB3-41FC-B697-2DC0955BBD36}" name="Tipster" dataDxfId="93" totalsRowDxfId="92"/>
    <tableColumn id="8" xr3:uid="{35D16D1C-17B5-4474-9AC6-618349E38A8D}" name="Fixture / Event" dataDxfId="91" totalsRowDxfId="90"/>
    <tableColumn id="9" xr3:uid="{763D1252-8AC4-40FA-8DB0-C02953CFE690}" name="Live" dataDxfId="89" totalsRowDxfId="88"/>
    <tableColumn id="2" xr3:uid="{E12557DE-26E6-455D-B80A-2D16673CD3BB}" name="BB" dataDxfId="87" totalsRowDxfId="86"/>
    <tableColumn id="10" xr3:uid="{A804ADA3-05B1-403D-A25D-F54FCD812DE0}" name="Score" dataDxfId="85" totalsRowDxfId="84"/>
    <tableColumn id="11" xr3:uid="{92BE8352-E21D-466D-B272-40C3BCA9142C}" name="Stake" totalsRowFunction="sum" dataDxfId="83" totalsRowDxfId="82"/>
    <tableColumn id="12" xr3:uid="{77EB907C-90B6-4FB6-8CC7-4A3D7B58E68E}" name="Odds" totalsRowFunction="average" dataDxfId="81" totalsRowDxfId="80"/>
    <tableColumn id="14" xr3:uid="{65FE53A6-BA60-44D6-8BDD-8EE8BF4631D0}" name="Win" dataDxfId="79" totalsRowDxfId="78"/>
    <tableColumn id="4" xr3:uid="{05A00DA9-DB7D-4870-A95B-C9ECFCCD8380}" name="Profit" totalsRowFunction="sum" dataDxfId="77" totalsRowDxfId="76">
      <calculatedColumnFormula>_xlfn.IFS(TableBets[[#This Row],[Win]]="Won",TableBets[[#This Row],[Stake]]*(TableBets[[#This Row],[Odds]]-1),AND(TableBets[[#This Row],[Win]]="Lost",TableBets[[#This Row],[BB]]&lt;&gt;"Y"),-TableBets[[#This Row],[Stake]],TableBets[[#This Row],[Win]]="Sold",-TableBets[[#This Row],[Stake]]+TableBets[[#This Row],[Sold for]],TRUE,0)</calculatedColumnFormula>
    </tableColumn>
    <tableColumn id="7" xr3:uid="{BC15A6CA-730E-4D94-BEA2-3837E3C953FA}" name="Sold for" dataDxfId="75" dataCellStyle="Normal"/>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1EC1F-4EB7-471A-B9CA-921CA5758E05}" name="TableTotalProfit" displayName="TableTotalProfit" ref="R1:S248" totalsRowShown="0">
  <autoFilter ref="R1:S248" xr:uid="{5371EC1F-4EB7-471A-B9CA-921CA5758E05}"/>
  <tableColumns count="2">
    <tableColumn id="1" xr3:uid="{55E41601-EEC7-41EB-89A8-AAB564F35FF0}" name="Date" dataDxfId="74">
      <calculatedColumnFormula>TableBets[[#This Row],[Date]]</calculatedColumnFormula>
    </tableColumn>
    <tableColumn id="2" xr3:uid="{7DC9F4A8-9566-4517-AF98-5A7B2B70ABE1}" name="Total Profit" dataDxfId="73">
      <calculatedColumnFormula>S1+TableBets[[#This Row],[Profit]]</calculatedColumnFormula>
    </tableColumn>
  </tableColumns>
  <tableStyleInfo name="TableStyleDark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29C85-EFB5-4345-8C33-894DE3E19352}" name="TableMovement" displayName="TableMovement" ref="A1:C3" totalsRowShown="0" headerRowDxfId="72">
  <autoFilter ref="A1:C3" xr:uid="{D6429C85-EFB5-4345-8C33-894DE3E19352}"/>
  <tableColumns count="3">
    <tableColumn id="1" xr3:uid="{89B6B4C1-05D0-470B-AA77-2C90A04DBB29}" name="Date" dataDxfId="71"/>
    <tableColumn id="2" xr3:uid="{79C417C7-B61E-49EA-99F5-8F6429B973B4}" name="Movement"/>
    <tableColumn id="3" xr3:uid="{8FC63B3E-02CB-4522-B451-CAE970484AC9}" name="Value" dataDxfId="70"/>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1A5576-3406-4E0D-A3C8-A33DE24053BA}" name="TableSport" displayName="TableSport" ref="A1:A8" totalsRowShown="0" headerRowDxfId="34" dataDxfId="32" headerRowBorderDxfId="33" tableBorderDxfId="31" totalsRowBorderDxfId="30">
  <autoFilter ref="A1:A8" xr:uid="{991A5576-3406-4E0D-A3C8-A33DE24053BA}"/>
  <tableColumns count="1">
    <tableColumn id="1" xr3:uid="{E9F193C1-C976-46C2-A933-4D5695C76115}" name="Sport Name" dataDxfId="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1E0DFB-062F-4594-AAFE-125515C14665}" name="TableBetType" displayName="TableBetType" ref="C1:C7" totalsRowShown="0" headerRowDxfId="28" dataDxfId="26" headerRowBorderDxfId="27" tableBorderDxfId="25" totalsRowBorderDxfId="24">
  <autoFilter ref="C1:C7" xr:uid="{0A1E0DFB-062F-4594-AAFE-125515C14665}"/>
  <tableColumns count="1">
    <tableColumn id="1" xr3:uid="{15DEB0CF-3AA9-4250-B287-5254362D08BF}" name="Bet Type" dataDxfId="2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4460B-2D80-4058-A3CF-8DD4F2C86B01}" name="TableTipster" displayName="TableTipster" ref="E1:E5" totalsRowShown="0" headerRowDxfId="22" dataDxfId="20" headerRowBorderDxfId="21" tableBorderDxfId="19" totalsRowBorderDxfId="18">
  <autoFilter ref="E1:E5" xr:uid="{6E94460B-2D80-4058-A3CF-8DD4F2C86B01}"/>
  <tableColumns count="1">
    <tableColumn id="1" xr3:uid="{B44C0E80-7409-442A-B686-CA4D97D6E307}" name="Tipster" dataDxfId="1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43FA82-E74B-4583-83C2-2D797D177FAC}" name="TableBetOutcome" displayName="TableBetOutcome" ref="G1:G7" totalsRowShown="0" headerRowDxfId="16" dataDxfId="14" headerRowBorderDxfId="15" tableBorderDxfId="13" totalsRowBorderDxfId="12">
  <autoFilter ref="G1:G7" xr:uid="{C243FA82-E74B-4583-83C2-2D797D177FAC}"/>
  <tableColumns count="1">
    <tableColumn id="1" xr3:uid="{FBD33C46-E53B-4E1B-872D-8B933B8C0C1C}" name="Bet Outcome" dataDxfId="1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D99261-8C45-4A2C-B109-9BD67D86F0B9}" name="TableMovementTypes" displayName="TableMovementTypes" ref="I1:I3" totalsRowShown="0" headerRowDxfId="10" headerRowBorderDxfId="9">
  <autoFilter ref="I1:I3" xr:uid="{70D99261-8C45-4A2C-B109-9BD67D86F0B9}"/>
  <tableColumns count="1">
    <tableColumn id="1" xr3:uid="{8C4EBB54-09B6-4FCB-915B-846290EB4BB7}" name="Movement Typ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C46E7D0-A765-4B4E-93B0-7B57ADAF4F33}" name="TableYesNo" displayName="TableYesNo" ref="K1:K3" totalsRowShown="0" headerRowDxfId="8" headerRowBorderDxfId="7">
  <autoFilter ref="K1:K3" xr:uid="{7C46E7D0-A765-4B4E-93B0-7B57ADAF4F33}"/>
  <tableColumns count="1">
    <tableColumn id="1" xr3:uid="{E74E2F3F-AD3B-489D-BB11-1DE507B356C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Lucida Sans Unicode"/>
        <a:ea typeface=""/>
        <a:cs typeface=""/>
      </a:majorFont>
      <a:minorFont>
        <a:latin typeface="Lucida Sans Unicode"/>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table" Target="../tables/table2.xml"/><Relationship Id="rId5" Type="http://schemas.openxmlformats.org/officeDocument/2006/relationships/image" Target="../media/image16.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18.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0.emf"/><Relationship Id="rId5" Type="http://schemas.openxmlformats.org/officeDocument/2006/relationships/control" Target="../activeX/activeX5.xml"/><Relationship Id="rId4"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11.xml"/><Relationship Id="rId18" Type="http://schemas.openxmlformats.org/officeDocument/2006/relationships/image" Target="../media/image28.emf"/><Relationship Id="rId3" Type="http://schemas.openxmlformats.org/officeDocument/2006/relationships/control" Target="../activeX/activeX6.xml"/><Relationship Id="rId21" Type="http://schemas.openxmlformats.org/officeDocument/2006/relationships/table" Target="../tables/table6.xml"/><Relationship Id="rId7" Type="http://schemas.openxmlformats.org/officeDocument/2006/relationships/control" Target="../activeX/activeX8.xml"/><Relationship Id="rId12" Type="http://schemas.openxmlformats.org/officeDocument/2006/relationships/image" Target="../media/image25.emf"/><Relationship Id="rId17" Type="http://schemas.openxmlformats.org/officeDocument/2006/relationships/control" Target="../activeX/activeX13.xml"/><Relationship Id="rId2" Type="http://schemas.openxmlformats.org/officeDocument/2006/relationships/vmlDrawing" Target="../drawings/vmlDrawing4.vml"/><Relationship Id="rId16" Type="http://schemas.openxmlformats.org/officeDocument/2006/relationships/image" Target="../media/image27.emf"/><Relationship Id="rId20" Type="http://schemas.openxmlformats.org/officeDocument/2006/relationships/table" Target="../tables/table5.xml"/><Relationship Id="rId1" Type="http://schemas.openxmlformats.org/officeDocument/2006/relationships/drawing" Target="../drawings/drawing4.xml"/><Relationship Id="rId6" Type="http://schemas.openxmlformats.org/officeDocument/2006/relationships/image" Target="../media/image22.emf"/><Relationship Id="rId11" Type="http://schemas.openxmlformats.org/officeDocument/2006/relationships/control" Target="../activeX/activeX10.xml"/><Relationship Id="rId24" Type="http://schemas.openxmlformats.org/officeDocument/2006/relationships/table" Target="../tables/table9.xml"/><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table" Target="../tables/table8.xml"/><Relationship Id="rId10" Type="http://schemas.openxmlformats.org/officeDocument/2006/relationships/image" Target="../media/image24.emf"/><Relationship Id="rId19" Type="http://schemas.openxmlformats.org/officeDocument/2006/relationships/table" Target="../tables/table4.xml"/><Relationship Id="rId4" Type="http://schemas.openxmlformats.org/officeDocument/2006/relationships/image" Target="../media/image21.emf"/><Relationship Id="rId9" Type="http://schemas.openxmlformats.org/officeDocument/2006/relationships/control" Target="../activeX/activeX9.xml"/><Relationship Id="rId14" Type="http://schemas.openxmlformats.org/officeDocument/2006/relationships/image" Target="../media/image26.emf"/><Relationship Id="rId22"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2198-DB35-4B1E-A31A-97BE0E140758}">
  <sheetPr codeName="Sheet1"/>
  <dimension ref="A1"/>
  <sheetViews>
    <sheetView showGridLines="0" zoomScaleNormal="100" workbookViewId="0"/>
  </sheetViews>
  <sheetFormatPr defaultRowHeight="14.25" x14ac:dyDescent="0.2"/>
  <sheetData/>
  <pageMargins left="0.7" right="0.7" top="0.75" bottom="0.75" header="0.3" footer="0.3"/>
  <pageSetup paperSize="9" orientation="portrait" horizontalDpi="4294967293" verticalDpi="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A26D-51E8-40AD-B70B-CC160BE7965E}">
  <sheetPr codeName="Sheet3"/>
  <dimension ref="A1:S251"/>
  <sheetViews>
    <sheetView showGridLines="0" tabSelected="1" zoomScaleNormal="100" workbookViewId="0">
      <pane ySplit="1" topLeftCell="A221" activePane="bottomLeft" state="frozen"/>
      <selection pane="bottomLeft" activeCell="F245" sqref="F245"/>
    </sheetView>
  </sheetViews>
  <sheetFormatPr defaultRowHeight="14.25" x14ac:dyDescent="0.2"/>
  <cols>
    <col min="1" max="1" width="8.77734375" style="3" bestFit="1" customWidth="1"/>
    <col min="2" max="2" width="16.77734375" style="4" bestFit="1" customWidth="1"/>
    <col min="3" max="3" width="19.109375" style="4" bestFit="1" customWidth="1"/>
    <col min="4" max="4" width="17" style="4" bestFit="1" customWidth="1"/>
    <col min="5" max="5" width="11.109375" style="4" bestFit="1" customWidth="1"/>
    <col min="6" max="6" width="33.88671875" style="4" bestFit="1" customWidth="1"/>
    <col min="7" max="7" width="8.21875" style="4" bestFit="1" customWidth="1"/>
    <col min="8" max="8" width="6.77734375" style="4" bestFit="1" customWidth="1"/>
    <col min="9" max="9" width="9.6640625" style="4" bestFit="1" customWidth="1"/>
    <col min="10" max="10" width="9.5546875" style="4" bestFit="1" customWidth="1"/>
    <col min="11" max="11" width="9.33203125" style="5" bestFit="1" customWidth="1"/>
    <col min="12" max="12" width="7.77734375" style="6" bestFit="1" customWidth="1"/>
    <col min="13" max="13" width="9.77734375" style="6" bestFit="1" customWidth="1"/>
    <col min="14" max="14" width="8.5546875" bestFit="1" customWidth="1"/>
    <col min="15" max="15" width="14.44140625" bestFit="1" customWidth="1"/>
    <col min="16" max="16" width="9.109375" bestFit="1" customWidth="1"/>
    <col min="17" max="17" width="10.109375" bestFit="1" customWidth="1"/>
    <col min="18" max="18" width="10.77734375" bestFit="1" customWidth="1"/>
    <col min="19" max="19" width="12.109375" bestFit="1" customWidth="1"/>
  </cols>
  <sheetData>
    <row r="1" spans="1:19" x14ac:dyDescent="0.2">
      <c r="A1" s="55" t="s">
        <v>21</v>
      </c>
      <c r="B1" s="56" t="s">
        <v>22</v>
      </c>
      <c r="C1" s="56" t="s">
        <v>23</v>
      </c>
      <c r="D1" s="56" t="s">
        <v>1</v>
      </c>
      <c r="E1" s="56" t="s">
        <v>346</v>
      </c>
      <c r="F1" s="56" t="s">
        <v>24</v>
      </c>
      <c r="G1" s="56" t="s">
        <v>370</v>
      </c>
      <c r="H1" s="56" t="s">
        <v>434</v>
      </c>
      <c r="I1" s="56" t="s">
        <v>393</v>
      </c>
      <c r="J1" s="57" t="s">
        <v>25</v>
      </c>
      <c r="K1" s="58" t="s">
        <v>26</v>
      </c>
      <c r="L1" s="56" t="s">
        <v>27</v>
      </c>
      <c r="M1" s="60" t="s">
        <v>356</v>
      </c>
      <c r="N1" s="59" t="s">
        <v>470</v>
      </c>
      <c r="O1" s="27" t="s">
        <v>366</v>
      </c>
      <c r="P1" s="28">
        <f>Analysis!L17</f>
        <v>66.996420000000029</v>
      </c>
      <c r="R1" t="s">
        <v>21</v>
      </c>
      <c r="S1" s="29" t="s">
        <v>395</v>
      </c>
    </row>
    <row r="2" spans="1:19" x14ac:dyDescent="0.2">
      <c r="A2" s="19">
        <v>44822</v>
      </c>
      <c r="B2" s="7" t="s">
        <v>2</v>
      </c>
      <c r="C2" s="7" t="s">
        <v>28</v>
      </c>
      <c r="D2" s="7" t="s">
        <v>3</v>
      </c>
      <c r="E2" s="7" t="s">
        <v>6</v>
      </c>
      <c r="F2" s="7" t="s">
        <v>29</v>
      </c>
      <c r="G2" s="7" t="s">
        <v>30</v>
      </c>
      <c r="H2" s="7" t="s">
        <v>30</v>
      </c>
      <c r="I2" s="7" t="s">
        <v>31</v>
      </c>
      <c r="J2" s="8">
        <v>4</v>
      </c>
      <c r="K2" s="9">
        <v>1.85</v>
      </c>
      <c r="L2" s="7" t="s">
        <v>18</v>
      </c>
      <c r="M2" s="61">
        <f>_xlfn.IFS(TableBets[[#This Row],[Win]]="Won",TableBets[[#This Row],[Stake]]*(TableBets[[#This Row],[Odds]]-1),AND(TableBets[[#This Row],[Win]]="Lost",TableBets[[#This Row],[BB]]&lt;&gt;"Y"),-TableBets[[#This Row],[Stake]],TableBets[[#This Row],[Win]]="Sold",-TableBets[[#This Row],[Stake]]+TableBets[[#This Row],[Sold for]],TRUE,0)</f>
        <v>3.4000000000000004</v>
      </c>
      <c r="N2" s="15"/>
      <c r="O2" s="5"/>
      <c r="R2" s="23">
        <f>TableBets[[#This Row],[Date]]</f>
        <v>44822</v>
      </c>
      <c r="S2" s="15">
        <f>TableBets[[#This Row],[Profit]]</f>
        <v>3.4000000000000004</v>
      </c>
    </row>
    <row r="3" spans="1:19" x14ac:dyDescent="0.2">
      <c r="A3" s="19">
        <v>44822</v>
      </c>
      <c r="B3" s="7" t="s">
        <v>2</v>
      </c>
      <c r="C3" s="7" t="s">
        <v>33</v>
      </c>
      <c r="D3" s="7" t="s">
        <v>3</v>
      </c>
      <c r="E3" s="7" t="s">
        <v>6</v>
      </c>
      <c r="F3" s="7" t="s">
        <v>34</v>
      </c>
      <c r="G3" s="7" t="s">
        <v>30</v>
      </c>
      <c r="H3" s="7" t="s">
        <v>30</v>
      </c>
      <c r="I3" s="7" t="s">
        <v>35</v>
      </c>
      <c r="J3" s="8">
        <v>4</v>
      </c>
      <c r="K3" s="9">
        <v>1.492</v>
      </c>
      <c r="L3" s="7" t="s">
        <v>18</v>
      </c>
      <c r="M3" s="61">
        <f>_xlfn.IFS(TableBets[[#This Row],[Win]]="Won",TableBets[[#This Row],[Stake]]*(TableBets[[#This Row],[Odds]]-1),AND(TableBets[[#This Row],[Win]]="Lost",TableBets[[#This Row],[BB]]&lt;&gt;"Y"),-TableBets[[#This Row],[Stake]],TableBets[[#This Row],[Win]]="Sold",-TableBets[[#This Row],[Stake]]+TableBets[[#This Row],[Sold for]],TRUE,0)</f>
        <v>1.968</v>
      </c>
      <c r="N3" s="15"/>
      <c r="O3" s="5"/>
      <c r="R3" s="23">
        <f>TableBets[[#This Row],[Date]]</f>
        <v>44822</v>
      </c>
      <c r="S3" s="15">
        <f>TableBets[[#This Row],[Profit]]+$S2</f>
        <v>5.3680000000000003</v>
      </c>
    </row>
    <row r="4" spans="1:19" x14ac:dyDescent="0.2">
      <c r="A4" s="19">
        <v>44824</v>
      </c>
      <c r="B4" s="7" t="s">
        <v>2</v>
      </c>
      <c r="C4" s="7" t="s">
        <v>36</v>
      </c>
      <c r="D4" s="7" t="s">
        <v>3</v>
      </c>
      <c r="E4" s="7" t="s">
        <v>6</v>
      </c>
      <c r="F4" s="7" t="s">
        <v>37</v>
      </c>
      <c r="G4" s="7" t="s">
        <v>30</v>
      </c>
      <c r="H4" s="7" t="s">
        <v>30</v>
      </c>
      <c r="I4" s="7" t="s">
        <v>38</v>
      </c>
      <c r="J4" s="8">
        <v>4</v>
      </c>
      <c r="K4" s="9">
        <v>1.52</v>
      </c>
      <c r="L4" s="7" t="s">
        <v>19</v>
      </c>
      <c r="M4" s="61">
        <f>_xlfn.IFS(TableBets[[#This Row],[Win]]="Won",TableBets[[#This Row],[Stake]]*(TableBets[[#This Row],[Odds]]-1),AND(TableBets[[#This Row],[Win]]="Lost",TableBets[[#This Row],[BB]]&lt;&gt;"Y"),-TableBets[[#This Row],[Stake]],TableBets[[#This Row],[Win]]="Sold",-TableBets[[#This Row],[Stake]]+TableBets[[#This Row],[Sold for]],TRUE,0)</f>
        <v>-4</v>
      </c>
      <c r="N4" s="15"/>
      <c r="O4" s="5"/>
      <c r="R4" s="23">
        <f>TableBets[[#This Row],[Date]]</f>
        <v>44824</v>
      </c>
      <c r="S4" s="15">
        <f>TableBets[[#This Row],[Profit]]+$S3</f>
        <v>1.3680000000000003</v>
      </c>
    </row>
    <row r="5" spans="1:19" x14ac:dyDescent="0.2">
      <c r="A5" s="19">
        <v>44824</v>
      </c>
      <c r="B5" s="7" t="s">
        <v>2</v>
      </c>
      <c r="C5" s="7" t="s">
        <v>39</v>
      </c>
      <c r="D5" s="7" t="s">
        <v>3</v>
      </c>
      <c r="E5" s="7" t="s">
        <v>6</v>
      </c>
      <c r="F5" s="7" t="s">
        <v>40</v>
      </c>
      <c r="G5" s="7" t="s">
        <v>30</v>
      </c>
      <c r="H5" s="7" t="s">
        <v>30</v>
      </c>
      <c r="I5" s="7" t="s">
        <v>41</v>
      </c>
      <c r="J5" s="8">
        <v>4</v>
      </c>
      <c r="K5" s="9">
        <v>1.47</v>
      </c>
      <c r="L5" s="7" t="s">
        <v>19</v>
      </c>
      <c r="M5" s="61">
        <f>_xlfn.IFS(TableBets[[#This Row],[Win]]="Won",TableBets[[#This Row],[Stake]]*(TableBets[[#This Row],[Odds]]-1),AND(TableBets[[#This Row],[Win]]="Lost",TableBets[[#This Row],[BB]]&lt;&gt;"Y"),-TableBets[[#This Row],[Stake]],TableBets[[#This Row],[Win]]="Sold",-TableBets[[#This Row],[Stake]]+TableBets[[#This Row],[Sold for]],TRUE,0)</f>
        <v>-4</v>
      </c>
      <c r="N5" s="15"/>
      <c r="O5" s="5"/>
      <c r="R5" s="23">
        <f>TableBets[[#This Row],[Date]]</f>
        <v>44824</v>
      </c>
      <c r="S5" s="15">
        <f>TableBets[[#This Row],[Profit]]+$S4</f>
        <v>-2.6319999999999997</v>
      </c>
    </row>
    <row r="6" spans="1:19" x14ac:dyDescent="0.2">
      <c r="A6" s="19">
        <v>44824</v>
      </c>
      <c r="B6" s="7" t="s">
        <v>2</v>
      </c>
      <c r="C6" s="7" t="s">
        <v>42</v>
      </c>
      <c r="D6" s="7" t="s">
        <v>3</v>
      </c>
      <c r="E6" s="7" t="s">
        <v>6</v>
      </c>
      <c r="F6" s="7" t="s">
        <v>43</v>
      </c>
      <c r="G6" s="7" t="s">
        <v>30</v>
      </c>
      <c r="H6" s="7" t="s">
        <v>30</v>
      </c>
      <c r="I6" s="7" t="s">
        <v>41</v>
      </c>
      <c r="J6" s="8">
        <v>4</v>
      </c>
      <c r="K6" s="9">
        <v>1.54</v>
      </c>
      <c r="L6" s="7" t="s">
        <v>18</v>
      </c>
      <c r="M6" s="61">
        <f>_xlfn.IFS(TableBets[[#This Row],[Win]]="Won",TableBets[[#This Row],[Stake]]*(TableBets[[#This Row],[Odds]]-1),AND(TableBets[[#This Row],[Win]]="Lost",TableBets[[#This Row],[BB]]&lt;&gt;"Y"),-TableBets[[#This Row],[Stake]],TableBets[[#This Row],[Win]]="Sold",-TableBets[[#This Row],[Stake]]+TableBets[[#This Row],[Sold for]],TRUE,0)</f>
        <v>2.16</v>
      </c>
      <c r="N6" s="15"/>
      <c r="O6" s="5"/>
      <c r="R6" s="23">
        <f>TableBets[[#This Row],[Date]]</f>
        <v>44824</v>
      </c>
      <c r="S6" s="15">
        <f>TableBets[[#This Row],[Profit]]+$S5</f>
        <v>-0.47199999999999953</v>
      </c>
    </row>
    <row r="7" spans="1:19" x14ac:dyDescent="0.2">
      <c r="A7" s="19">
        <v>44824</v>
      </c>
      <c r="B7" s="7" t="s">
        <v>2</v>
      </c>
      <c r="C7" s="7" t="s">
        <v>42</v>
      </c>
      <c r="D7" s="7" t="s">
        <v>3</v>
      </c>
      <c r="E7" s="7" t="s">
        <v>6</v>
      </c>
      <c r="F7" s="7" t="s">
        <v>44</v>
      </c>
      <c r="G7" s="7" t="s">
        <v>32</v>
      </c>
      <c r="H7" s="7" t="s">
        <v>30</v>
      </c>
      <c r="I7" s="7" t="s">
        <v>45</v>
      </c>
      <c r="J7" s="8">
        <v>4</v>
      </c>
      <c r="K7" s="9">
        <v>1.56</v>
      </c>
      <c r="L7" s="7" t="s">
        <v>18</v>
      </c>
      <c r="M7" s="61">
        <f>_xlfn.IFS(TableBets[[#This Row],[Win]]="Won",TableBets[[#This Row],[Stake]]*(TableBets[[#This Row],[Odds]]-1),AND(TableBets[[#This Row],[Win]]="Lost",TableBets[[#This Row],[BB]]&lt;&gt;"Y"),-TableBets[[#This Row],[Stake]],TableBets[[#This Row],[Win]]="Sold",-TableBets[[#This Row],[Stake]]+TableBets[[#This Row],[Sold for]],TRUE,0)</f>
        <v>2.2400000000000002</v>
      </c>
      <c r="N7" s="15"/>
      <c r="O7" s="5"/>
      <c r="R7" s="23">
        <f>TableBets[[#This Row],[Date]]</f>
        <v>44824</v>
      </c>
      <c r="S7" s="15">
        <f>TableBets[[#This Row],[Profit]]+$S6</f>
        <v>1.7680000000000007</v>
      </c>
    </row>
    <row r="8" spans="1:19" x14ac:dyDescent="0.2">
      <c r="A8" s="19">
        <v>44824</v>
      </c>
      <c r="B8" s="7" t="s">
        <v>2</v>
      </c>
      <c r="C8" s="7" t="s">
        <v>46</v>
      </c>
      <c r="D8" s="7" t="s">
        <v>3</v>
      </c>
      <c r="E8" s="7" t="s">
        <v>6</v>
      </c>
      <c r="F8" s="7" t="s">
        <v>47</v>
      </c>
      <c r="G8" s="7" t="s">
        <v>30</v>
      </c>
      <c r="H8" s="7" t="s">
        <v>30</v>
      </c>
      <c r="I8" s="7" t="s">
        <v>48</v>
      </c>
      <c r="J8" s="8">
        <v>4</v>
      </c>
      <c r="K8" s="9">
        <v>2.024</v>
      </c>
      <c r="L8" s="7" t="s">
        <v>19</v>
      </c>
      <c r="M8" s="61">
        <f>_xlfn.IFS(TableBets[[#This Row],[Win]]="Won",TableBets[[#This Row],[Stake]]*(TableBets[[#This Row],[Odds]]-1),AND(TableBets[[#This Row],[Win]]="Lost",TableBets[[#This Row],[BB]]&lt;&gt;"Y"),-TableBets[[#This Row],[Stake]],TableBets[[#This Row],[Win]]="Sold",-TableBets[[#This Row],[Stake]]+TableBets[[#This Row],[Sold for]],TRUE,0)</f>
        <v>-4</v>
      </c>
      <c r="N8" s="15"/>
      <c r="O8" s="5"/>
      <c r="R8" s="23">
        <f>TableBets[[#This Row],[Date]]</f>
        <v>44824</v>
      </c>
      <c r="S8" s="15">
        <f>TableBets[[#This Row],[Profit]]+$S7</f>
        <v>-2.2319999999999993</v>
      </c>
    </row>
    <row r="9" spans="1:19" x14ac:dyDescent="0.2">
      <c r="A9" s="19">
        <v>44824</v>
      </c>
      <c r="B9" s="7" t="s">
        <v>2</v>
      </c>
      <c r="C9" s="7" t="s">
        <v>49</v>
      </c>
      <c r="D9" s="7" t="s">
        <v>11</v>
      </c>
      <c r="E9" s="7" t="s">
        <v>6</v>
      </c>
      <c r="F9" s="7" t="s">
        <v>50</v>
      </c>
      <c r="G9" s="7" t="s">
        <v>30</v>
      </c>
      <c r="H9" s="7" t="s">
        <v>30</v>
      </c>
      <c r="I9" s="7" t="s">
        <v>35</v>
      </c>
      <c r="J9" s="8">
        <v>4</v>
      </c>
      <c r="K9" s="9">
        <v>3.4</v>
      </c>
      <c r="L9" s="7" t="s">
        <v>19</v>
      </c>
      <c r="M9" s="61">
        <f>_xlfn.IFS(TableBets[[#This Row],[Win]]="Won",TableBets[[#This Row],[Stake]]*(TableBets[[#This Row],[Odds]]-1),AND(TableBets[[#This Row],[Win]]="Lost",TableBets[[#This Row],[BB]]&lt;&gt;"Y"),-TableBets[[#This Row],[Stake]],TableBets[[#This Row],[Win]]="Sold",-TableBets[[#This Row],[Stake]]+TableBets[[#This Row],[Sold for]],TRUE,0)</f>
        <v>-4</v>
      </c>
      <c r="N9" s="15"/>
      <c r="O9" s="5"/>
      <c r="R9" s="23">
        <f>TableBets[[#This Row],[Date]]</f>
        <v>44824</v>
      </c>
      <c r="S9" s="15">
        <f>TableBets[[#This Row],[Profit]]+$S8</f>
        <v>-6.2319999999999993</v>
      </c>
    </row>
    <row r="10" spans="1:19" x14ac:dyDescent="0.2">
      <c r="A10" s="19">
        <v>44824</v>
      </c>
      <c r="B10" s="7" t="s">
        <v>2</v>
      </c>
      <c r="C10" s="7" t="s">
        <v>51</v>
      </c>
      <c r="D10" s="7" t="s">
        <v>3</v>
      </c>
      <c r="E10" s="7" t="s">
        <v>6</v>
      </c>
      <c r="F10" s="7" t="s">
        <v>52</v>
      </c>
      <c r="G10" s="7" t="s">
        <v>32</v>
      </c>
      <c r="H10" s="7" t="s">
        <v>30</v>
      </c>
      <c r="I10" s="7" t="s">
        <v>53</v>
      </c>
      <c r="J10" s="8">
        <v>4</v>
      </c>
      <c r="K10" s="9">
        <v>1.52</v>
      </c>
      <c r="L10" s="7" t="s">
        <v>18</v>
      </c>
      <c r="M10" s="61">
        <f>_xlfn.IFS(TableBets[[#This Row],[Win]]="Won",TableBets[[#This Row],[Stake]]*(TableBets[[#This Row],[Odds]]-1),AND(TableBets[[#This Row],[Win]]="Lost",TableBets[[#This Row],[BB]]&lt;&gt;"Y"),-TableBets[[#This Row],[Stake]],TableBets[[#This Row],[Win]]="Sold",-TableBets[[#This Row],[Stake]]+TableBets[[#This Row],[Sold for]],TRUE,0)</f>
        <v>2.08</v>
      </c>
      <c r="N10" s="15"/>
      <c r="O10" s="5"/>
      <c r="R10" s="23">
        <f>TableBets[[#This Row],[Date]]</f>
        <v>44824</v>
      </c>
      <c r="S10" s="15">
        <f>TableBets[[#This Row],[Profit]]+$S9</f>
        <v>-4.1519999999999992</v>
      </c>
    </row>
    <row r="11" spans="1:19" x14ac:dyDescent="0.2">
      <c r="A11" s="19">
        <v>44824</v>
      </c>
      <c r="B11" s="7" t="s">
        <v>2</v>
      </c>
      <c r="C11" s="7" t="s">
        <v>54</v>
      </c>
      <c r="D11" s="7" t="s">
        <v>3</v>
      </c>
      <c r="E11" s="7" t="s">
        <v>6</v>
      </c>
      <c r="F11" s="7" t="s">
        <v>55</v>
      </c>
      <c r="G11" s="7" t="s">
        <v>32</v>
      </c>
      <c r="H11" s="7" t="s">
        <v>30</v>
      </c>
      <c r="I11" s="7" t="s">
        <v>56</v>
      </c>
      <c r="J11" s="8">
        <v>4</v>
      </c>
      <c r="K11" s="9">
        <v>1.72</v>
      </c>
      <c r="L11" s="7" t="s">
        <v>18</v>
      </c>
      <c r="M11" s="61">
        <f>_xlfn.IFS(TableBets[[#This Row],[Win]]="Won",TableBets[[#This Row],[Stake]]*(TableBets[[#This Row],[Odds]]-1),AND(TableBets[[#This Row],[Win]]="Lost",TableBets[[#This Row],[BB]]&lt;&gt;"Y"),-TableBets[[#This Row],[Stake]],TableBets[[#This Row],[Win]]="Sold",-TableBets[[#This Row],[Stake]]+TableBets[[#This Row],[Sold for]],TRUE,0)</f>
        <v>2.88</v>
      </c>
      <c r="N11" s="15"/>
      <c r="O11" s="5"/>
      <c r="R11" s="23">
        <f>TableBets[[#This Row],[Date]]</f>
        <v>44824</v>
      </c>
      <c r="S11" s="15">
        <f>TableBets[[#This Row],[Profit]]+$S10</f>
        <v>-1.2719999999999994</v>
      </c>
    </row>
    <row r="12" spans="1:19" x14ac:dyDescent="0.2">
      <c r="A12" s="19">
        <v>44825</v>
      </c>
      <c r="B12" s="7" t="s">
        <v>2</v>
      </c>
      <c r="C12" s="7" t="s">
        <v>57</v>
      </c>
      <c r="D12" s="7" t="s">
        <v>3</v>
      </c>
      <c r="E12" s="7" t="s">
        <v>6</v>
      </c>
      <c r="F12" s="7" t="s">
        <v>58</v>
      </c>
      <c r="G12" s="7" t="s">
        <v>32</v>
      </c>
      <c r="H12" s="7" t="s">
        <v>30</v>
      </c>
      <c r="I12" s="7" t="s">
        <v>59</v>
      </c>
      <c r="J12" s="8">
        <v>4</v>
      </c>
      <c r="K12" s="9">
        <v>1.67</v>
      </c>
      <c r="L12" s="7" t="s">
        <v>18</v>
      </c>
      <c r="M12" s="61">
        <f>_xlfn.IFS(TableBets[[#This Row],[Win]]="Won",TableBets[[#This Row],[Stake]]*(TableBets[[#This Row],[Odds]]-1),AND(TableBets[[#This Row],[Win]]="Lost",TableBets[[#This Row],[BB]]&lt;&gt;"Y"),-TableBets[[#This Row],[Stake]],TableBets[[#This Row],[Win]]="Sold",-TableBets[[#This Row],[Stake]]+TableBets[[#This Row],[Sold for]],TRUE,0)</f>
        <v>2.6799999999999997</v>
      </c>
      <c r="N12" s="15"/>
      <c r="O12" s="5"/>
      <c r="R12" s="23">
        <f>TableBets[[#This Row],[Date]]</f>
        <v>44825</v>
      </c>
      <c r="S12" s="15">
        <f>TableBets[[#This Row],[Profit]]+$S11</f>
        <v>1.4080000000000004</v>
      </c>
    </row>
    <row r="13" spans="1:19" x14ac:dyDescent="0.2">
      <c r="A13" s="19">
        <v>44825</v>
      </c>
      <c r="B13" s="7" t="s">
        <v>2</v>
      </c>
      <c r="C13" s="7" t="s">
        <v>60</v>
      </c>
      <c r="D13" s="7" t="s">
        <v>13</v>
      </c>
      <c r="E13" s="7" t="s">
        <v>6</v>
      </c>
      <c r="F13" s="7" t="s">
        <v>61</v>
      </c>
      <c r="G13" s="7" t="s">
        <v>30</v>
      </c>
      <c r="H13" s="7" t="s">
        <v>30</v>
      </c>
      <c r="I13" s="7" t="s">
        <v>62</v>
      </c>
      <c r="J13" s="8">
        <v>4</v>
      </c>
      <c r="K13" s="9">
        <v>1.55</v>
      </c>
      <c r="L13" s="7" t="s">
        <v>18</v>
      </c>
      <c r="M13" s="61">
        <f>_xlfn.IFS(TableBets[[#This Row],[Win]]="Won",TableBets[[#This Row],[Stake]]*(TableBets[[#This Row],[Odds]]-1),AND(TableBets[[#This Row],[Win]]="Lost",TableBets[[#This Row],[BB]]&lt;&gt;"Y"),-TableBets[[#This Row],[Stake]],TableBets[[#This Row],[Win]]="Sold",-TableBets[[#This Row],[Stake]]+TableBets[[#This Row],[Sold for]],TRUE,0)</f>
        <v>2.2000000000000002</v>
      </c>
      <c r="N13" s="15"/>
      <c r="O13" s="5"/>
      <c r="R13" s="23">
        <f>TableBets[[#This Row],[Date]]</f>
        <v>44825</v>
      </c>
      <c r="S13" s="15">
        <f>TableBets[[#This Row],[Profit]]+$S12</f>
        <v>3.6080000000000005</v>
      </c>
    </row>
    <row r="14" spans="1:19" x14ac:dyDescent="0.2">
      <c r="A14" s="19">
        <v>44825</v>
      </c>
      <c r="B14" s="7" t="s">
        <v>2</v>
      </c>
      <c r="C14" s="7" t="s">
        <v>63</v>
      </c>
      <c r="D14" s="7" t="s">
        <v>11</v>
      </c>
      <c r="E14" s="7" t="s">
        <v>6</v>
      </c>
      <c r="F14" s="7" t="s">
        <v>64</v>
      </c>
      <c r="G14" s="7" t="s">
        <v>30</v>
      </c>
      <c r="H14" s="7" t="s">
        <v>30</v>
      </c>
      <c r="I14" s="7" t="s">
        <v>65</v>
      </c>
      <c r="J14" s="8">
        <v>4</v>
      </c>
      <c r="K14" s="9">
        <v>1.605</v>
      </c>
      <c r="L14" s="7" t="s">
        <v>18</v>
      </c>
      <c r="M14" s="61">
        <f>_xlfn.IFS(TableBets[[#This Row],[Win]]="Won",TableBets[[#This Row],[Stake]]*(TableBets[[#This Row],[Odds]]-1),AND(TableBets[[#This Row],[Win]]="Lost",TableBets[[#This Row],[BB]]&lt;&gt;"Y"),-TableBets[[#This Row],[Stake]],TableBets[[#This Row],[Win]]="Sold",-TableBets[[#This Row],[Stake]]+TableBets[[#This Row],[Sold for]],TRUE,0)</f>
        <v>2.42</v>
      </c>
      <c r="N14" s="15"/>
      <c r="O14" s="5"/>
      <c r="R14" s="23">
        <f>TableBets[[#This Row],[Date]]</f>
        <v>44825</v>
      </c>
      <c r="S14" s="15">
        <f>TableBets[[#This Row],[Profit]]+$S13</f>
        <v>6.0280000000000005</v>
      </c>
    </row>
    <row r="15" spans="1:19" x14ac:dyDescent="0.2">
      <c r="A15" s="19">
        <v>44825</v>
      </c>
      <c r="B15" s="7" t="s">
        <v>2</v>
      </c>
      <c r="C15" s="7" t="s">
        <v>66</v>
      </c>
      <c r="D15" s="7" t="s">
        <v>3</v>
      </c>
      <c r="E15" s="7" t="s">
        <v>6</v>
      </c>
      <c r="F15" s="7" t="s">
        <v>67</v>
      </c>
      <c r="G15" s="7" t="s">
        <v>30</v>
      </c>
      <c r="H15" s="7" t="s">
        <v>30</v>
      </c>
      <c r="I15" s="7" t="s">
        <v>65</v>
      </c>
      <c r="J15" s="8">
        <v>4</v>
      </c>
      <c r="K15" s="9">
        <v>1.42</v>
      </c>
      <c r="L15" s="7" t="s">
        <v>18</v>
      </c>
      <c r="M15" s="61">
        <f>_xlfn.IFS(TableBets[[#This Row],[Win]]="Won",TableBets[[#This Row],[Stake]]*(TableBets[[#This Row],[Odds]]-1),AND(TableBets[[#This Row],[Win]]="Lost",TableBets[[#This Row],[BB]]&lt;&gt;"Y"),-TableBets[[#This Row],[Stake]],TableBets[[#This Row],[Win]]="Sold",-TableBets[[#This Row],[Stake]]+TableBets[[#This Row],[Sold for]],TRUE,0)</f>
        <v>1.6799999999999997</v>
      </c>
      <c r="N15" s="15"/>
      <c r="O15" s="5"/>
      <c r="R15" s="23">
        <f>TableBets[[#This Row],[Date]]</f>
        <v>44825</v>
      </c>
      <c r="S15" s="15">
        <f>TableBets[[#This Row],[Profit]]+$S14</f>
        <v>7.7080000000000002</v>
      </c>
    </row>
    <row r="16" spans="1:19" x14ac:dyDescent="0.2">
      <c r="A16" s="19">
        <v>44825</v>
      </c>
      <c r="B16" s="7" t="s">
        <v>2</v>
      </c>
      <c r="C16" s="7" t="s">
        <v>68</v>
      </c>
      <c r="D16" s="7" t="s">
        <v>3</v>
      </c>
      <c r="E16" s="7" t="s">
        <v>6</v>
      </c>
      <c r="F16" s="7" t="s">
        <v>69</v>
      </c>
      <c r="G16" s="7" t="s">
        <v>30</v>
      </c>
      <c r="H16" s="7" t="s">
        <v>30</v>
      </c>
      <c r="I16" s="7" t="s">
        <v>65</v>
      </c>
      <c r="J16" s="8">
        <v>4</v>
      </c>
      <c r="K16" s="9">
        <v>1.3919999999999999</v>
      </c>
      <c r="L16" s="7" t="s">
        <v>18</v>
      </c>
      <c r="M16" s="61">
        <f>_xlfn.IFS(TableBets[[#This Row],[Win]]="Won",TableBets[[#This Row],[Stake]]*(TableBets[[#This Row],[Odds]]-1),AND(TableBets[[#This Row],[Win]]="Lost",TableBets[[#This Row],[BB]]&lt;&gt;"Y"),-TableBets[[#This Row],[Stake]],TableBets[[#This Row],[Win]]="Sold",-TableBets[[#This Row],[Stake]]+TableBets[[#This Row],[Sold for]],TRUE,0)</f>
        <v>1.5679999999999996</v>
      </c>
      <c r="N16" s="15"/>
      <c r="O16" s="5"/>
      <c r="R16" s="23">
        <f>TableBets[[#This Row],[Date]]</f>
        <v>44825</v>
      </c>
      <c r="S16" s="15">
        <f>TableBets[[#This Row],[Profit]]+$S15</f>
        <v>9.2759999999999998</v>
      </c>
    </row>
    <row r="17" spans="1:19" x14ac:dyDescent="0.2">
      <c r="A17" s="19">
        <v>44825</v>
      </c>
      <c r="B17" s="7" t="s">
        <v>2</v>
      </c>
      <c r="C17" s="7" t="s">
        <v>70</v>
      </c>
      <c r="D17" s="7" t="s">
        <v>11</v>
      </c>
      <c r="E17" s="7" t="s">
        <v>6</v>
      </c>
      <c r="F17" s="7" t="s">
        <v>71</v>
      </c>
      <c r="G17" s="7" t="s">
        <v>30</v>
      </c>
      <c r="H17" s="7" t="s">
        <v>30</v>
      </c>
      <c r="I17" s="7" t="s">
        <v>48</v>
      </c>
      <c r="J17" s="8">
        <v>4</v>
      </c>
      <c r="K17" s="9">
        <v>1.52</v>
      </c>
      <c r="L17" s="7" t="s">
        <v>18</v>
      </c>
      <c r="M17" s="61">
        <f>_xlfn.IFS(TableBets[[#This Row],[Win]]="Won",TableBets[[#This Row],[Stake]]*(TableBets[[#This Row],[Odds]]-1),AND(TableBets[[#This Row],[Win]]="Lost",TableBets[[#This Row],[BB]]&lt;&gt;"Y"),-TableBets[[#This Row],[Stake]],TableBets[[#This Row],[Win]]="Sold",-TableBets[[#This Row],[Stake]]+TableBets[[#This Row],[Sold for]],TRUE,0)</f>
        <v>2.08</v>
      </c>
      <c r="N17" s="15"/>
      <c r="O17" s="5"/>
      <c r="R17" s="23">
        <f>TableBets[[#This Row],[Date]]</f>
        <v>44825</v>
      </c>
      <c r="S17" s="15">
        <f>TableBets[[#This Row],[Profit]]+$S16</f>
        <v>11.356</v>
      </c>
    </row>
    <row r="18" spans="1:19" x14ac:dyDescent="0.2">
      <c r="A18" s="19">
        <v>44825</v>
      </c>
      <c r="B18" s="7" t="s">
        <v>2</v>
      </c>
      <c r="C18" s="7" t="s">
        <v>72</v>
      </c>
      <c r="D18" s="7" t="s">
        <v>11</v>
      </c>
      <c r="E18" s="7" t="s">
        <v>6</v>
      </c>
      <c r="F18" s="7" t="s">
        <v>73</v>
      </c>
      <c r="G18" s="7" t="s">
        <v>30</v>
      </c>
      <c r="H18" s="7" t="s">
        <v>30</v>
      </c>
      <c r="I18" s="7" t="s">
        <v>65</v>
      </c>
      <c r="J18" s="8">
        <v>4</v>
      </c>
      <c r="K18" s="9">
        <v>1.81</v>
      </c>
      <c r="L18" s="7" t="s">
        <v>19</v>
      </c>
      <c r="M18" s="61">
        <f>_xlfn.IFS(TableBets[[#This Row],[Win]]="Won",TableBets[[#This Row],[Stake]]*(TableBets[[#This Row],[Odds]]-1),AND(TableBets[[#This Row],[Win]]="Lost",TableBets[[#This Row],[BB]]&lt;&gt;"Y"),-TableBets[[#This Row],[Stake]],TableBets[[#This Row],[Win]]="Sold",-TableBets[[#This Row],[Stake]]+TableBets[[#This Row],[Sold for]],TRUE,0)</f>
        <v>-4</v>
      </c>
      <c r="N18" s="15"/>
      <c r="O18" s="5"/>
      <c r="R18" s="23">
        <f>TableBets[[#This Row],[Date]]</f>
        <v>44825</v>
      </c>
      <c r="S18" s="15">
        <f>TableBets[[#This Row],[Profit]]+$S17</f>
        <v>7.3559999999999999</v>
      </c>
    </row>
    <row r="19" spans="1:19" x14ac:dyDescent="0.2">
      <c r="A19" s="19">
        <v>44825</v>
      </c>
      <c r="B19" s="7" t="s">
        <v>2</v>
      </c>
      <c r="C19" s="7" t="s">
        <v>68</v>
      </c>
      <c r="D19" s="7" t="s">
        <v>3</v>
      </c>
      <c r="E19" s="7" t="s">
        <v>6</v>
      </c>
      <c r="F19" s="7" t="s">
        <v>74</v>
      </c>
      <c r="G19" s="7" t="s">
        <v>32</v>
      </c>
      <c r="H19" s="7" t="s">
        <v>30</v>
      </c>
      <c r="I19" s="7" t="s">
        <v>75</v>
      </c>
      <c r="J19" s="8">
        <v>4</v>
      </c>
      <c r="K19" s="9">
        <v>1.42</v>
      </c>
      <c r="L19" s="7" t="s">
        <v>18</v>
      </c>
      <c r="M19" s="61">
        <f>_xlfn.IFS(TableBets[[#This Row],[Win]]="Won",TableBets[[#This Row],[Stake]]*(TableBets[[#This Row],[Odds]]-1),AND(TableBets[[#This Row],[Win]]="Lost",TableBets[[#This Row],[BB]]&lt;&gt;"Y"),-TableBets[[#This Row],[Stake]],TableBets[[#This Row],[Win]]="Sold",-TableBets[[#This Row],[Stake]]+TableBets[[#This Row],[Sold for]],TRUE,0)</f>
        <v>1.6799999999999997</v>
      </c>
      <c r="N19" s="15"/>
      <c r="O19" s="5"/>
      <c r="R19" s="23">
        <f>TableBets[[#This Row],[Date]]</f>
        <v>44825</v>
      </c>
      <c r="S19" s="15">
        <f>TableBets[[#This Row],[Profit]]+$S18</f>
        <v>9.0359999999999996</v>
      </c>
    </row>
    <row r="20" spans="1:19" x14ac:dyDescent="0.2">
      <c r="A20" s="19">
        <v>44825</v>
      </c>
      <c r="B20" s="7" t="s">
        <v>2</v>
      </c>
      <c r="C20" s="7" t="s">
        <v>68</v>
      </c>
      <c r="D20" s="7" t="s">
        <v>3</v>
      </c>
      <c r="E20" s="7" t="s">
        <v>6</v>
      </c>
      <c r="F20" s="7" t="s">
        <v>69</v>
      </c>
      <c r="G20" s="7" t="s">
        <v>32</v>
      </c>
      <c r="H20" s="7" t="s">
        <v>30</v>
      </c>
      <c r="I20" s="7" t="s">
        <v>65</v>
      </c>
      <c r="J20" s="8">
        <v>4</v>
      </c>
      <c r="K20" s="9">
        <v>1.45</v>
      </c>
      <c r="L20" s="7" t="s">
        <v>18</v>
      </c>
      <c r="M20" s="61">
        <f>_xlfn.IFS(TableBets[[#This Row],[Win]]="Won",TableBets[[#This Row],[Stake]]*(TableBets[[#This Row],[Odds]]-1),AND(TableBets[[#This Row],[Win]]="Lost",TableBets[[#This Row],[BB]]&lt;&gt;"Y"),-TableBets[[#This Row],[Stake]],TableBets[[#This Row],[Win]]="Sold",-TableBets[[#This Row],[Stake]]+TableBets[[#This Row],[Sold for]],TRUE,0)</f>
        <v>1.7999999999999998</v>
      </c>
      <c r="N20" s="15"/>
      <c r="O20" s="5"/>
      <c r="R20" s="23">
        <f>TableBets[[#This Row],[Date]]</f>
        <v>44825</v>
      </c>
      <c r="S20" s="15">
        <f>TableBets[[#This Row],[Profit]]+$S19</f>
        <v>10.835999999999999</v>
      </c>
    </row>
    <row r="21" spans="1:19" x14ac:dyDescent="0.2">
      <c r="A21" s="19">
        <v>44825</v>
      </c>
      <c r="B21" s="7" t="s">
        <v>2</v>
      </c>
      <c r="C21" s="7" t="s">
        <v>66</v>
      </c>
      <c r="D21" s="7" t="s">
        <v>3</v>
      </c>
      <c r="E21" s="7" t="s">
        <v>6</v>
      </c>
      <c r="F21" s="7" t="s">
        <v>76</v>
      </c>
      <c r="G21" s="7" t="s">
        <v>32</v>
      </c>
      <c r="H21" s="7" t="s">
        <v>30</v>
      </c>
      <c r="I21" s="7" t="s">
        <v>77</v>
      </c>
      <c r="J21" s="8">
        <v>4</v>
      </c>
      <c r="K21" s="9">
        <v>1.49</v>
      </c>
      <c r="L21" s="7" t="s">
        <v>19</v>
      </c>
      <c r="M21" s="61">
        <f>_xlfn.IFS(TableBets[[#This Row],[Win]]="Won",TableBets[[#This Row],[Stake]]*(TableBets[[#This Row],[Odds]]-1),AND(TableBets[[#This Row],[Win]]="Lost",TableBets[[#This Row],[BB]]&lt;&gt;"Y"),-TableBets[[#This Row],[Stake]],TableBets[[#This Row],[Win]]="Sold",-TableBets[[#This Row],[Stake]]+TableBets[[#This Row],[Sold for]],TRUE,0)</f>
        <v>-4</v>
      </c>
      <c r="N21" s="15"/>
      <c r="O21" s="5"/>
      <c r="R21" s="23">
        <f>TableBets[[#This Row],[Date]]</f>
        <v>44825</v>
      </c>
      <c r="S21" s="15">
        <f>TableBets[[#This Row],[Profit]]+$S20</f>
        <v>6.8359999999999985</v>
      </c>
    </row>
    <row r="22" spans="1:19" x14ac:dyDescent="0.2">
      <c r="A22" s="19">
        <v>44825</v>
      </c>
      <c r="B22" s="7" t="s">
        <v>2</v>
      </c>
      <c r="C22" s="7" t="s">
        <v>78</v>
      </c>
      <c r="D22" s="7" t="s">
        <v>3</v>
      </c>
      <c r="E22" s="7" t="s">
        <v>6</v>
      </c>
      <c r="F22" s="7" t="s">
        <v>79</v>
      </c>
      <c r="G22" s="7" t="s">
        <v>32</v>
      </c>
      <c r="H22" s="7" t="s">
        <v>30</v>
      </c>
      <c r="I22" s="7" t="s">
        <v>75</v>
      </c>
      <c r="J22" s="8">
        <v>4</v>
      </c>
      <c r="K22" s="9">
        <v>1.57</v>
      </c>
      <c r="L22" s="7" t="s">
        <v>18</v>
      </c>
      <c r="M22" s="61">
        <f>_xlfn.IFS(TableBets[[#This Row],[Win]]="Won",TableBets[[#This Row],[Stake]]*(TableBets[[#This Row],[Odds]]-1),AND(TableBets[[#This Row],[Win]]="Lost",TableBets[[#This Row],[BB]]&lt;&gt;"Y"),-TableBets[[#This Row],[Stake]],TableBets[[#This Row],[Win]]="Sold",-TableBets[[#This Row],[Stake]]+TableBets[[#This Row],[Sold for]],TRUE,0)</f>
        <v>2.2800000000000002</v>
      </c>
      <c r="N22" s="15"/>
      <c r="O22" s="5"/>
      <c r="R22" s="23">
        <f>TableBets[[#This Row],[Date]]</f>
        <v>44825</v>
      </c>
      <c r="S22" s="15">
        <f>TableBets[[#This Row],[Profit]]+$S21</f>
        <v>9.1159999999999997</v>
      </c>
    </row>
    <row r="23" spans="1:19" x14ac:dyDescent="0.2">
      <c r="A23" s="19">
        <v>44825</v>
      </c>
      <c r="B23" s="7" t="s">
        <v>2</v>
      </c>
      <c r="C23" s="7" t="s">
        <v>78</v>
      </c>
      <c r="D23" s="7" t="s">
        <v>3</v>
      </c>
      <c r="E23" s="7" t="s">
        <v>6</v>
      </c>
      <c r="F23" s="7" t="s">
        <v>80</v>
      </c>
      <c r="G23" s="7" t="s">
        <v>30</v>
      </c>
      <c r="H23" s="7" t="s">
        <v>30</v>
      </c>
      <c r="I23" s="7" t="s">
        <v>65</v>
      </c>
      <c r="J23" s="8">
        <v>4</v>
      </c>
      <c r="K23" s="9">
        <v>1.58</v>
      </c>
      <c r="L23" s="7" t="s">
        <v>18</v>
      </c>
      <c r="M23" s="61">
        <f>_xlfn.IFS(TableBets[[#This Row],[Win]]="Won",TableBets[[#This Row],[Stake]]*(TableBets[[#This Row],[Odds]]-1),AND(TableBets[[#This Row],[Win]]="Lost",TableBets[[#This Row],[BB]]&lt;&gt;"Y"),-TableBets[[#This Row],[Stake]],TableBets[[#This Row],[Win]]="Sold",-TableBets[[#This Row],[Stake]]+TableBets[[#This Row],[Sold for]],TRUE,0)</f>
        <v>2.3200000000000003</v>
      </c>
      <c r="N23" s="15"/>
      <c r="O23" s="5"/>
      <c r="R23" s="23">
        <f>TableBets[[#This Row],[Date]]</f>
        <v>44825</v>
      </c>
      <c r="S23" s="15">
        <f>TableBets[[#This Row],[Profit]]+$S22</f>
        <v>11.436</v>
      </c>
    </row>
    <row r="24" spans="1:19" x14ac:dyDescent="0.2">
      <c r="A24" s="19">
        <v>44825</v>
      </c>
      <c r="B24" s="7" t="s">
        <v>4</v>
      </c>
      <c r="C24" s="7" t="s">
        <v>81</v>
      </c>
      <c r="D24" s="7" t="s">
        <v>3</v>
      </c>
      <c r="E24" s="7" t="s">
        <v>6</v>
      </c>
      <c r="F24" s="7" t="s">
        <v>82</v>
      </c>
      <c r="G24" s="7" t="s">
        <v>32</v>
      </c>
      <c r="H24" s="7" t="s">
        <v>30</v>
      </c>
      <c r="I24" s="7" t="s">
        <v>83</v>
      </c>
      <c r="J24" s="8">
        <v>4</v>
      </c>
      <c r="K24" s="9">
        <v>1.85</v>
      </c>
      <c r="L24" s="7" t="s">
        <v>18</v>
      </c>
      <c r="M24" s="61">
        <f>_xlfn.IFS(TableBets[[#This Row],[Win]]="Won",TableBets[[#This Row],[Stake]]*(TableBets[[#This Row],[Odds]]-1),AND(TableBets[[#This Row],[Win]]="Lost",TableBets[[#This Row],[BB]]&lt;&gt;"Y"),-TableBets[[#This Row],[Stake]],TableBets[[#This Row],[Win]]="Sold",-TableBets[[#This Row],[Stake]]+TableBets[[#This Row],[Sold for]],TRUE,0)</f>
        <v>3.4000000000000004</v>
      </c>
      <c r="N24" s="15"/>
      <c r="O24" s="5"/>
      <c r="R24" s="23">
        <f>TableBets[[#This Row],[Date]]</f>
        <v>44825</v>
      </c>
      <c r="S24" s="15">
        <f>TableBets[[#This Row],[Profit]]+$S23</f>
        <v>14.836</v>
      </c>
    </row>
    <row r="25" spans="1:19" x14ac:dyDescent="0.2">
      <c r="A25" s="19">
        <v>44825</v>
      </c>
      <c r="B25" s="7" t="s">
        <v>4</v>
      </c>
      <c r="C25" s="7" t="s">
        <v>81</v>
      </c>
      <c r="D25" s="7" t="s">
        <v>3</v>
      </c>
      <c r="E25" s="7" t="s">
        <v>6</v>
      </c>
      <c r="F25" s="7" t="s">
        <v>84</v>
      </c>
      <c r="G25" s="7" t="s">
        <v>32</v>
      </c>
      <c r="H25" s="7" t="s">
        <v>30</v>
      </c>
      <c r="I25" s="7" t="s">
        <v>85</v>
      </c>
      <c r="J25" s="8">
        <v>4</v>
      </c>
      <c r="K25" s="9">
        <v>1.47</v>
      </c>
      <c r="L25" s="7" t="s">
        <v>18</v>
      </c>
      <c r="M25" s="61">
        <f>_xlfn.IFS(TableBets[[#This Row],[Win]]="Won",TableBets[[#This Row],[Stake]]*(TableBets[[#This Row],[Odds]]-1),AND(TableBets[[#This Row],[Win]]="Lost",TableBets[[#This Row],[BB]]&lt;&gt;"Y"),-TableBets[[#This Row],[Stake]],TableBets[[#This Row],[Win]]="Sold",-TableBets[[#This Row],[Stake]]+TableBets[[#This Row],[Sold for]],TRUE,0)</f>
        <v>1.88</v>
      </c>
      <c r="N25" s="15"/>
      <c r="O25" s="5"/>
      <c r="R25" s="23">
        <f>TableBets[[#This Row],[Date]]</f>
        <v>44825</v>
      </c>
      <c r="S25" s="15">
        <f>TableBets[[#This Row],[Profit]]+$S24</f>
        <v>16.716000000000001</v>
      </c>
    </row>
    <row r="26" spans="1:19" x14ac:dyDescent="0.2">
      <c r="A26" s="19">
        <v>44825</v>
      </c>
      <c r="B26" s="7" t="s">
        <v>4</v>
      </c>
      <c r="C26" s="7" t="s">
        <v>86</v>
      </c>
      <c r="D26" s="7" t="s">
        <v>11</v>
      </c>
      <c r="E26" s="7" t="s">
        <v>6</v>
      </c>
      <c r="F26" s="7" t="s">
        <v>87</v>
      </c>
      <c r="G26" s="7" t="s">
        <v>30</v>
      </c>
      <c r="H26" s="7" t="s">
        <v>30</v>
      </c>
      <c r="I26" s="7" t="s">
        <v>88</v>
      </c>
      <c r="J26" s="8">
        <v>4</v>
      </c>
      <c r="K26" s="9">
        <v>1.615</v>
      </c>
      <c r="L26" s="7" t="s">
        <v>18</v>
      </c>
      <c r="M26" s="61">
        <f>_xlfn.IFS(TableBets[[#This Row],[Win]]="Won",TableBets[[#This Row],[Stake]]*(TableBets[[#This Row],[Odds]]-1),AND(TableBets[[#This Row],[Win]]="Lost",TableBets[[#This Row],[BB]]&lt;&gt;"Y"),-TableBets[[#This Row],[Stake]],TableBets[[#This Row],[Win]]="Sold",-TableBets[[#This Row],[Stake]]+TableBets[[#This Row],[Sold for]],TRUE,0)</f>
        <v>2.46</v>
      </c>
      <c r="N26" s="15"/>
      <c r="O26" s="5"/>
      <c r="R26" s="23">
        <f>TableBets[[#This Row],[Date]]</f>
        <v>44825</v>
      </c>
      <c r="S26" s="15">
        <f>TableBets[[#This Row],[Profit]]+$S25</f>
        <v>19.176000000000002</v>
      </c>
    </row>
    <row r="27" spans="1:19" x14ac:dyDescent="0.2">
      <c r="A27" s="19">
        <v>44825</v>
      </c>
      <c r="B27" s="7" t="s">
        <v>2</v>
      </c>
      <c r="C27" s="7" t="s">
        <v>89</v>
      </c>
      <c r="D27" s="7" t="s">
        <v>13</v>
      </c>
      <c r="E27" s="7" t="s">
        <v>6</v>
      </c>
      <c r="F27" s="7" t="s">
        <v>90</v>
      </c>
      <c r="G27" s="7" t="s">
        <v>32</v>
      </c>
      <c r="H27" s="7" t="s">
        <v>30</v>
      </c>
      <c r="I27" s="7" t="s">
        <v>91</v>
      </c>
      <c r="J27" s="8">
        <v>2</v>
      </c>
      <c r="K27" s="9">
        <v>1.53</v>
      </c>
      <c r="L27" s="7" t="s">
        <v>18</v>
      </c>
      <c r="M27" s="61">
        <f>_xlfn.IFS(TableBets[[#This Row],[Win]]="Won",TableBets[[#This Row],[Stake]]*(TableBets[[#This Row],[Odds]]-1),AND(TableBets[[#This Row],[Win]]="Lost",TableBets[[#This Row],[BB]]&lt;&gt;"Y"),-TableBets[[#This Row],[Stake]],TableBets[[#This Row],[Win]]="Sold",-TableBets[[#This Row],[Stake]]+TableBets[[#This Row],[Sold for]],TRUE,0)</f>
        <v>1.06</v>
      </c>
      <c r="N27" s="15"/>
      <c r="O27" s="5"/>
      <c r="R27" s="23">
        <f>TableBets[[#This Row],[Date]]</f>
        <v>44825</v>
      </c>
      <c r="S27" s="15">
        <f>TableBets[[#This Row],[Profit]]+$S26</f>
        <v>20.236000000000001</v>
      </c>
    </row>
    <row r="28" spans="1:19" x14ac:dyDescent="0.2">
      <c r="A28" s="19">
        <v>44826</v>
      </c>
      <c r="B28" s="7" t="s">
        <v>4</v>
      </c>
      <c r="C28" s="7" t="s">
        <v>92</v>
      </c>
      <c r="D28" s="7" t="s">
        <v>11</v>
      </c>
      <c r="E28" s="7" t="s">
        <v>6</v>
      </c>
      <c r="F28" s="7" t="s">
        <v>93</v>
      </c>
      <c r="G28" s="7" t="s">
        <v>30</v>
      </c>
      <c r="H28" s="7" t="s">
        <v>30</v>
      </c>
      <c r="I28" s="7" t="s">
        <v>94</v>
      </c>
      <c r="J28" s="8">
        <v>4</v>
      </c>
      <c r="K28" s="9">
        <v>1.4450000000000001</v>
      </c>
      <c r="L28" s="7" t="s">
        <v>18</v>
      </c>
      <c r="M28" s="61">
        <f>_xlfn.IFS(TableBets[[#This Row],[Win]]="Won",TableBets[[#This Row],[Stake]]*(TableBets[[#This Row],[Odds]]-1),AND(TableBets[[#This Row],[Win]]="Lost",TableBets[[#This Row],[BB]]&lt;&gt;"Y"),-TableBets[[#This Row],[Stake]],TableBets[[#This Row],[Win]]="Sold",-TableBets[[#This Row],[Stake]]+TableBets[[#This Row],[Sold for]],TRUE,0)</f>
        <v>1.7800000000000002</v>
      </c>
      <c r="N28" s="15"/>
      <c r="O28" s="5"/>
      <c r="R28" s="23">
        <f>TableBets[[#This Row],[Date]]</f>
        <v>44826</v>
      </c>
      <c r="S28" s="15">
        <f>TableBets[[#This Row],[Profit]]+$S27</f>
        <v>22.016000000000002</v>
      </c>
    </row>
    <row r="29" spans="1:19" x14ac:dyDescent="0.2">
      <c r="A29" s="19">
        <v>44826</v>
      </c>
      <c r="B29" s="7" t="s">
        <v>2</v>
      </c>
      <c r="C29" s="7" t="s">
        <v>95</v>
      </c>
      <c r="D29" s="7" t="s">
        <v>3</v>
      </c>
      <c r="E29" s="7" t="s">
        <v>6</v>
      </c>
      <c r="F29" s="7" t="s">
        <v>96</v>
      </c>
      <c r="G29" s="7" t="s">
        <v>32</v>
      </c>
      <c r="H29" s="7" t="s">
        <v>30</v>
      </c>
      <c r="I29" s="7" t="s">
        <v>97</v>
      </c>
      <c r="J29" s="8">
        <v>4</v>
      </c>
      <c r="K29" s="9">
        <v>1.94</v>
      </c>
      <c r="L29" s="7" t="s">
        <v>18</v>
      </c>
      <c r="M29" s="61">
        <f>_xlfn.IFS(TableBets[[#This Row],[Win]]="Won",TableBets[[#This Row],[Stake]]*(TableBets[[#This Row],[Odds]]-1),AND(TableBets[[#This Row],[Win]]="Lost",TableBets[[#This Row],[BB]]&lt;&gt;"Y"),-TableBets[[#This Row],[Stake]],TableBets[[#This Row],[Win]]="Sold",-TableBets[[#This Row],[Stake]]+TableBets[[#This Row],[Sold for]],TRUE,0)</f>
        <v>3.76</v>
      </c>
      <c r="N29" s="15"/>
      <c r="O29" s="5"/>
      <c r="R29" s="23">
        <f>TableBets[[#This Row],[Date]]</f>
        <v>44826</v>
      </c>
      <c r="S29" s="15">
        <f>TableBets[[#This Row],[Profit]]+$S28</f>
        <v>25.776000000000003</v>
      </c>
    </row>
    <row r="30" spans="1:19" x14ac:dyDescent="0.2">
      <c r="A30" s="19">
        <v>44826</v>
      </c>
      <c r="B30" s="7" t="s">
        <v>2</v>
      </c>
      <c r="C30" s="7" t="s">
        <v>98</v>
      </c>
      <c r="D30" s="7" t="s">
        <v>13</v>
      </c>
      <c r="E30" s="7" t="s">
        <v>6</v>
      </c>
      <c r="F30" s="7" t="s">
        <v>99</v>
      </c>
      <c r="G30" s="7" t="s">
        <v>30</v>
      </c>
      <c r="H30" s="7" t="s">
        <v>30</v>
      </c>
      <c r="I30" s="7" t="s">
        <v>41</v>
      </c>
      <c r="J30" s="8">
        <v>4</v>
      </c>
      <c r="K30" s="9">
        <v>1.52</v>
      </c>
      <c r="L30" s="7" t="s">
        <v>18</v>
      </c>
      <c r="M30" s="61">
        <f>_xlfn.IFS(TableBets[[#This Row],[Win]]="Won",TableBets[[#This Row],[Stake]]*(TableBets[[#This Row],[Odds]]-1),AND(TableBets[[#This Row],[Win]]="Lost",TableBets[[#This Row],[BB]]&lt;&gt;"Y"),-TableBets[[#This Row],[Stake]],TableBets[[#This Row],[Win]]="Sold",-TableBets[[#This Row],[Stake]]+TableBets[[#This Row],[Sold for]],TRUE,0)</f>
        <v>2.08</v>
      </c>
      <c r="N30" s="15"/>
      <c r="O30" s="5"/>
      <c r="R30" s="23">
        <f>TableBets[[#This Row],[Date]]</f>
        <v>44826</v>
      </c>
      <c r="S30" s="15">
        <f>TableBets[[#This Row],[Profit]]+$S29</f>
        <v>27.856000000000002</v>
      </c>
    </row>
    <row r="31" spans="1:19" x14ac:dyDescent="0.2">
      <c r="A31" s="19">
        <v>44826</v>
      </c>
      <c r="B31" s="7" t="s">
        <v>2</v>
      </c>
      <c r="C31" s="7" t="s">
        <v>100</v>
      </c>
      <c r="D31" s="7" t="s">
        <v>3</v>
      </c>
      <c r="E31" s="7" t="s">
        <v>6</v>
      </c>
      <c r="F31" s="7" t="s">
        <v>101</v>
      </c>
      <c r="G31" s="7" t="s">
        <v>30</v>
      </c>
      <c r="H31" s="7" t="s">
        <v>30</v>
      </c>
      <c r="I31" s="7" t="s">
        <v>48</v>
      </c>
      <c r="J31" s="8">
        <v>4</v>
      </c>
      <c r="K31" s="9">
        <v>1.38</v>
      </c>
      <c r="L31" s="7" t="s">
        <v>18</v>
      </c>
      <c r="M31" s="61">
        <f>_xlfn.IFS(TableBets[[#This Row],[Win]]="Won",TableBets[[#This Row],[Stake]]*(TableBets[[#This Row],[Odds]]-1),AND(TableBets[[#This Row],[Win]]="Lost",TableBets[[#This Row],[BB]]&lt;&gt;"Y"),-TableBets[[#This Row],[Stake]],TableBets[[#This Row],[Win]]="Sold",-TableBets[[#This Row],[Stake]]+TableBets[[#This Row],[Sold for]],TRUE,0)</f>
        <v>1.5199999999999996</v>
      </c>
      <c r="N31" s="15"/>
      <c r="O31" s="5"/>
      <c r="R31" s="23">
        <f>TableBets[[#This Row],[Date]]</f>
        <v>44826</v>
      </c>
      <c r="S31" s="15">
        <f>TableBets[[#This Row],[Profit]]+$S30</f>
        <v>29.376000000000001</v>
      </c>
    </row>
    <row r="32" spans="1:19" x14ac:dyDescent="0.2">
      <c r="A32" s="19">
        <v>44826</v>
      </c>
      <c r="B32" s="7" t="s">
        <v>2</v>
      </c>
      <c r="C32" s="7" t="s">
        <v>36</v>
      </c>
      <c r="D32" s="7" t="s">
        <v>3</v>
      </c>
      <c r="E32" s="7" t="s">
        <v>6</v>
      </c>
      <c r="F32" s="7" t="s">
        <v>102</v>
      </c>
      <c r="G32" s="7" t="s">
        <v>30</v>
      </c>
      <c r="H32" s="7" t="s">
        <v>30</v>
      </c>
      <c r="I32" s="7" t="s">
        <v>48</v>
      </c>
      <c r="J32" s="8">
        <v>4</v>
      </c>
      <c r="K32" s="9">
        <v>1.41</v>
      </c>
      <c r="L32" s="7" t="s">
        <v>19</v>
      </c>
      <c r="M32" s="61">
        <f>_xlfn.IFS(TableBets[[#This Row],[Win]]="Won",TableBets[[#This Row],[Stake]]*(TableBets[[#This Row],[Odds]]-1),AND(TableBets[[#This Row],[Win]]="Lost",TableBets[[#This Row],[BB]]&lt;&gt;"Y"),-TableBets[[#This Row],[Stake]],TableBets[[#This Row],[Win]]="Sold",-TableBets[[#This Row],[Stake]]+TableBets[[#This Row],[Sold for]],TRUE,0)</f>
        <v>-4</v>
      </c>
      <c r="N32" s="15"/>
      <c r="O32" s="5"/>
      <c r="R32" s="23">
        <f>TableBets[[#This Row],[Date]]</f>
        <v>44826</v>
      </c>
      <c r="S32" s="15">
        <f>TableBets[[#This Row],[Profit]]+$S31</f>
        <v>25.376000000000001</v>
      </c>
    </row>
    <row r="33" spans="1:19" x14ac:dyDescent="0.2">
      <c r="A33" s="19">
        <v>44826</v>
      </c>
      <c r="B33" s="7" t="s">
        <v>2</v>
      </c>
      <c r="C33" s="7" t="s">
        <v>103</v>
      </c>
      <c r="D33" s="7" t="s">
        <v>3</v>
      </c>
      <c r="E33" s="7" t="s">
        <v>6</v>
      </c>
      <c r="F33" s="7" t="s">
        <v>104</v>
      </c>
      <c r="G33" s="7" t="s">
        <v>32</v>
      </c>
      <c r="H33" s="7" t="s">
        <v>30</v>
      </c>
      <c r="I33" s="7" t="s">
        <v>31</v>
      </c>
      <c r="J33" s="8">
        <v>4</v>
      </c>
      <c r="K33" s="9">
        <v>2.11</v>
      </c>
      <c r="L33" s="7" t="s">
        <v>19</v>
      </c>
      <c r="M33" s="61">
        <f>_xlfn.IFS(TableBets[[#This Row],[Win]]="Won",TableBets[[#This Row],[Stake]]*(TableBets[[#This Row],[Odds]]-1),AND(TableBets[[#This Row],[Win]]="Lost",TableBets[[#This Row],[BB]]&lt;&gt;"Y"),-TableBets[[#This Row],[Stake]],TableBets[[#This Row],[Win]]="Sold",-TableBets[[#This Row],[Stake]]+TableBets[[#This Row],[Sold for]],TRUE,0)</f>
        <v>-4</v>
      </c>
      <c r="N33" s="15"/>
      <c r="O33" s="5"/>
      <c r="R33" s="23">
        <f>TableBets[[#This Row],[Date]]</f>
        <v>44826</v>
      </c>
      <c r="S33" s="15">
        <f>TableBets[[#This Row],[Profit]]+$S32</f>
        <v>21.376000000000001</v>
      </c>
    </row>
    <row r="34" spans="1:19" x14ac:dyDescent="0.2">
      <c r="A34" s="19">
        <v>44826</v>
      </c>
      <c r="B34" s="7" t="s">
        <v>2</v>
      </c>
      <c r="C34" s="7" t="s">
        <v>36</v>
      </c>
      <c r="D34" s="7" t="s">
        <v>3</v>
      </c>
      <c r="E34" s="7" t="s">
        <v>6</v>
      </c>
      <c r="F34" s="7" t="s">
        <v>105</v>
      </c>
      <c r="G34" s="7" t="s">
        <v>32</v>
      </c>
      <c r="H34" s="7" t="s">
        <v>30</v>
      </c>
      <c r="I34" s="7" t="s">
        <v>106</v>
      </c>
      <c r="J34" s="8">
        <v>4</v>
      </c>
      <c r="K34" s="9">
        <v>1.82</v>
      </c>
      <c r="L34" s="7" t="s">
        <v>19</v>
      </c>
      <c r="M34" s="61">
        <f>_xlfn.IFS(TableBets[[#This Row],[Win]]="Won",TableBets[[#This Row],[Stake]]*(TableBets[[#This Row],[Odds]]-1),AND(TableBets[[#This Row],[Win]]="Lost",TableBets[[#This Row],[BB]]&lt;&gt;"Y"),-TableBets[[#This Row],[Stake]],TableBets[[#This Row],[Win]]="Sold",-TableBets[[#This Row],[Stake]]+TableBets[[#This Row],[Sold for]],TRUE,0)</f>
        <v>-4</v>
      </c>
      <c r="N34" s="15"/>
      <c r="O34" s="5"/>
      <c r="R34" s="23">
        <f>TableBets[[#This Row],[Date]]</f>
        <v>44826</v>
      </c>
      <c r="S34" s="15">
        <f>TableBets[[#This Row],[Profit]]+$S33</f>
        <v>17.376000000000001</v>
      </c>
    </row>
    <row r="35" spans="1:19" x14ac:dyDescent="0.2">
      <c r="A35" s="19">
        <v>44826</v>
      </c>
      <c r="B35" s="7" t="s">
        <v>2</v>
      </c>
      <c r="C35" s="7" t="s">
        <v>107</v>
      </c>
      <c r="D35" s="7" t="s">
        <v>13</v>
      </c>
      <c r="E35" s="7" t="s">
        <v>6</v>
      </c>
      <c r="F35" s="7" t="s">
        <v>108</v>
      </c>
      <c r="G35" s="7" t="s">
        <v>30</v>
      </c>
      <c r="H35" s="7" t="s">
        <v>30</v>
      </c>
      <c r="I35" s="7" t="s">
        <v>109</v>
      </c>
      <c r="J35" s="8">
        <v>4</v>
      </c>
      <c r="K35" s="9">
        <v>1.55</v>
      </c>
      <c r="L35" s="7" t="s">
        <v>19</v>
      </c>
      <c r="M35" s="61">
        <f>_xlfn.IFS(TableBets[[#This Row],[Win]]="Won",TableBets[[#This Row],[Stake]]*(TableBets[[#This Row],[Odds]]-1),AND(TableBets[[#This Row],[Win]]="Lost",TableBets[[#This Row],[BB]]&lt;&gt;"Y"),-TableBets[[#This Row],[Stake]],TableBets[[#This Row],[Win]]="Sold",-TableBets[[#This Row],[Stake]]+TableBets[[#This Row],[Sold for]],TRUE,0)</f>
        <v>-4</v>
      </c>
      <c r="N35" s="15"/>
      <c r="O35" s="5"/>
      <c r="R35" s="23">
        <f>TableBets[[#This Row],[Date]]</f>
        <v>44826</v>
      </c>
      <c r="S35" s="15">
        <f>TableBets[[#This Row],[Profit]]+$S34</f>
        <v>13.376000000000001</v>
      </c>
    </row>
    <row r="36" spans="1:19" x14ac:dyDescent="0.2">
      <c r="A36" s="19">
        <v>44826</v>
      </c>
      <c r="B36" s="7" t="s">
        <v>2</v>
      </c>
      <c r="C36" s="7" t="s">
        <v>110</v>
      </c>
      <c r="D36" s="7" t="s">
        <v>3</v>
      </c>
      <c r="E36" s="7" t="s">
        <v>6</v>
      </c>
      <c r="F36" s="7" t="s">
        <v>111</v>
      </c>
      <c r="G36" s="7" t="s">
        <v>30</v>
      </c>
      <c r="H36" s="7" t="s">
        <v>30</v>
      </c>
      <c r="I36" s="7" t="s">
        <v>112</v>
      </c>
      <c r="J36" s="8">
        <v>4</v>
      </c>
      <c r="K36" s="9">
        <v>1.44</v>
      </c>
      <c r="L36" s="7" t="s">
        <v>18</v>
      </c>
      <c r="M36" s="61">
        <f>_xlfn.IFS(TableBets[[#This Row],[Win]]="Won",TableBets[[#This Row],[Stake]]*(TableBets[[#This Row],[Odds]]-1),AND(TableBets[[#This Row],[Win]]="Lost",TableBets[[#This Row],[BB]]&lt;&gt;"Y"),-TableBets[[#This Row],[Stake]],TableBets[[#This Row],[Win]]="Sold",-TableBets[[#This Row],[Stake]]+TableBets[[#This Row],[Sold for]],TRUE,0)</f>
        <v>1.7599999999999998</v>
      </c>
      <c r="N36" s="15"/>
      <c r="O36" s="5"/>
      <c r="R36" s="23">
        <f>TableBets[[#This Row],[Date]]</f>
        <v>44826</v>
      </c>
      <c r="S36" s="15">
        <f>TableBets[[#This Row],[Profit]]+$S35</f>
        <v>15.136000000000001</v>
      </c>
    </row>
    <row r="37" spans="1:19" x14ac:dyDescent="0.2">
      <c r="A37" s="19">
        <v>44826</v>
      </c>
      <c r="B37" s="7" t="s">
        <v>2</v>
      </c>
      <c r="C37" s="7" t="s">
        <v>36</v>
      </c>
      <c r="D37" s="7" t="s">
        <v>3</v>
      </c>
      <c r="E37" s="7" t="s">
        <v>6</v>
      </c>
      <c r="F37" s="7" t="s">
        <v>102</v>
      </c>
      <c r="G37" s="7" t="s">
        <v>30</v>
      </c>
      <c r="H37" s="7" t="s">
        <v>30</v>
      </c>
      <c r="I37" s="7" t="s">
        <v>48</v>
      </c>
      <c r="J37" s="8">
        <v>4</v>
      </c>
      <c r="K37" s="9">
        <v>1.67</v>
      </c>
      <c r="L37" s="7" t="s">
        <v>19</v>
      </c>
      <c r="M37" s="61">
        <f>_xlfn.IFS(TableBets[[#This Row],[Win]]="Won",TableBets[[#This Row],[Stake]]*(TableBets[[#This Row],[Odds]]-1),AND(TableBets[[#This Row],[Win]]="Lost",TableBets[[#This Row],[BB]]&lt;&gt;"Y"),-TableBets[[#This Row],[Stake]],TableBets[[#This Row],[Win]]="Sold",-TableBets[[#This Row],[Stake]]+TableBets[[#This Row],[Sold for]],TRUE,0)</f>
        <v>-4</v>
      </c>
      <c r="N37" s="15"/>
      <c r="O37" s="5"/>
      <c r="R37" s="23">
        <f>TableBets[[#This Row],[Date]]</f>
        <v>44826</v>
      </c>
      <c r="S37" s="15">
        <f>TableBets[[#This Row],[Profit]]+$S36</f>
        <v>11.136000000000001</v>
      </c>
    </row>
    <row r="38" spans="1:19" x14ac:dyDescent="0.2">
      <c r="A38" s="19">
        <v>44826</v>
      </c>
      <c r="B38" s="7" t="s">
        <v>2</v>
      </c>
      <c r="C38" s="7" t="s">
        <v>113</v>
      </c>
      <c r="D38" s="7" t="s">
        <v>3</v>
      </c>
      <c r="E38" s="7" t="s">
        <v>6</v>
      </c>
      <c r="F38" s="7" t="s">
        <v>114</v>
      </c>
      <c r="G38" s="7" t="s">
        <v>32</v>
      </c>
      <c r="H38" s="7" t="s">
        <v>30</v>
      </c>
      <c r="I38" s="7" t="s">
        <v>115</v>
      </c>
      <c r="J38" s="8">
        <v>6</v>
      </c>
      <c r="K38" s="9">
        <v>1.61</v>
      </c>
      <c r="L38" s="7" t="s">
        <v>18</v>
      </c>
      <c r="M38" s="61">
        <f>_xlfn.IFS(TableBets[[#This Row],[Win]]="Won",TableBets[[#This Row],[Stake]]*(TableBets[[#This Row],[Odds]]-1),AND(TableBets[[#This Row],[Win]]="Lost",TableBets[[#This Row],[BB]]&lt;&gt;"Y"),-TableBets[[#This Row],[Stake]],TableBets[[#This Row],[Win]]="Sold",-TableBets[[#This Row],[Stake]]+TableBets[[#This Row],[Sold for]],TRUE,0)</f>
        <v>3.6600000000000006</v>
      </c>
      <c r="N38" s="15"/>
      <c r="O38" s="5"/>
      <c r="R38" s="23">
        <f>TableBets[[#This Row],[Date]]</f>
        <v>44826</v>
      </c>
      <c r="S38" s="15">
        <f>TableBets[[#This Row],[Profit]]+$S37</f>
        <v>14.796000000000001</v>
      </c>
    </row>
    <row r="39" spans="1:19" x14ac:dyDescent="0.2">
      <c r="A39" s="19">
        <v>44826</v>
      </c>
      <c r="B39" s="7" t="s">
        <v>4</v>
      </c>
      <c r="C39" s="7" t="s">
        <v>116</v>
      </c>
      <c r="D39" s="7" t="s">
        <v>3</v>
      </c>
      <c r="E39" s="7" t="s">
        <v>6</v>
      </c>
      <c r="F39" s="7" t="s">
        <v>117</v>
      </c>
      <c r="G39" s="7" t="s">
        <v>32</v>
      </c>
      <c r="H39" s="7" t="s">
        <v>30</v>
      </c>
      <c r="I39" s="7" t="s">
        <v>118</v>
      </c>
      <c r="J39" s="8">
        <v>6</v>
      </c>
      <c r="K39" s="9">
        <v>1.65</v>
      </c>
      <c r="L39" s="7" t="s">
        <v>18</v>
      </c>
      <c r="M39" s="61">
        <f>_xlfn.IFS(TableBets[[#This Row],[Win]]="Won",TableBets[[#This Row],[Stake]]*(TableBets[[#This Row],[Odds]]-1),AND(TableBets[[#This Row],[Win]]="Lost",TableBets[[#This Row],[BB]]&lt;&gt;"Y"),-TableBets[[#This Row],[Stake]],TableBets[[#This Row],[Win]]="Sold",-TableBets[[#This Row],[Stake]]+TableBets[[#This Row],[Sold for]],TRUE,0)</f>
        <v>3.8999999999999995</v>
      </c>
      <c r="N39" s="15"/>
      <c r="O39" s="5"/>
      <c r="R39" s="23">
        <f>TableBets[[#This Row],[Date]]</f>
        <v>44826</v>
      </c>
      <c r="S39" s="15">
        <f>TableBets[[#This Row],[Profit]]+$S38</f>
        <v>18.696000000000002</v>
      </c>
    </row>
    <row r="40" spans="1:19" x14ac:dyDescent="0.2">
      <c r="A40" s="19">
        <v>44826</v>
      </c>
      <c r="B40" s="7" t="s">
        <v>4</v>
      </c>
      <c r="C40" s="7" t="s">
        <v>116</v>
      </c>
      <c r="D40" s="7" t="s">
        <v>3</v>
      </c>
      <c r="E40" s="7" t="s">
        <v>6</v>
      </c>
      <c r="F40" s="7" t="s">
        <v>119</v>
      </c>
      <c r="G40" s="7" t="s">
        <v>32</v>
      </c>
      <c r="H40" s="7" t="s">
        <v>30</v>
      </c>
      <c r="I40" s="7" t="s">
        <v>120</v>
      </c>
      <c r="J40" s="8">
        <v>6</v>
      </c>
      <c r="K40" s="9">
        <v>1.67</v>
      </c>
      <c r="L40" s="7" t="s">
        <v>19</v>
      </c>
      <c r="M40" s="61">
        <f>_xlfn.IFS(TableBets[[#This Row],[Win]]="Won",TableBets[[#This Row],[Stake]]*(TableBets[[#This Row],[Odds]]-1),AND(TableBets[[#This Row],[Win]]="Lost",TableBets[[#This Row],[BB]]&lt;&gt;"Y"),-TableBets[[#This Row],[Stake]],TableBets[[#This Row],[Win]]="Sold",-TableBets[[#This Row],[Stake]]+TableBets[[#This Row],[Sold for]],TRUE,0)</f>
        <v>-6</v>
      </c>
      <c r="N40" s="15"/>
      <c r="O40" s="5"/>
      <c r="R40" s="23">
        <f>TableBets[[#This Row],[Date]]</f>
        <v>44826</v>
      </c>
      <c r="S40" s="15">
        <f>TableBets[[#This Row],[Profit]]+$S39</f>
        <v>12.696000000000002</v>
      </c>
    </row>
    <row r="41" spans="1:19" x14ac:dyDescent="0.2">
      <c r="A41" s="19">
        <v>44826</v>
      </c>
      <c r="B41" s="7" t="s">
        <v>2</v>
      </c>
      <c r="C41" s="7" t="s">
        <v>121</v>
      </c>
      <c r="D41" s="7" t="s">
        <v>3</v>
      </c>
      <c r="E41" s="7" t="s">
        <v>6</v>
      </c>
      <c r="F41" s="7" t="s">
        <v>122</v>
      </c>
      <c r="G41" s="7" t="s">
        <v>30</v>
      </c>
      <c r="H41" s="7" t="s">
        <v>30</v>
      </c>
      <c r="I41" s="7" t="s">
        <v>38</v>
      </c>
      <c r="J41" s="8">
        <v>4</v>
      </c>
      <c r="K41" s="9">
        <v>1.9</v>
      </c>
      <c r="L41" s="7" t="s">
        <v>19</v>
      </c>
      <c r="M41" s="61">
        <f>_xlfn.IFS(TableBets[[#This Row],[Win]]="Won",TableBets[[#This Row],[Stake]]*(TableBets[[#This Row],[Odds]]-1),AND(TableBets[[#This Row],[Win]]="Lost",TableBets[[#This Row],[BB]]&lt;&gt;"Y"),-TableBets[[#This Row],[Stake]],TableBets[[#This Row],[Win]]="Sold",-TableBets[[#This Row],[Stake]]+TableBets[[#This Row],[Sold for]],TRUE,0)</f>
        <v>-4</v>
      </c>
      <c r="N41" s="15"/>
      <c r="O41" s="5"/>
      <c r="R41" s="23">
        <f>TableBets[[#This Row],[Date]]</f>
        <v>44826</v>
      </c>
      <c r="S41" s="15">
        <f>TableBets[[#This Row],[Profit]]+$S40</f>
        <v>8.6960000000000015</v>
      </c>
    </row>
    <row r="42" spans="1:19" x14ac:dyDescent="0.2">
      <c r="A42" s="19">
        <v>44826</v>
      </c>
      <c r="B42" s="7" t="s">
        <v>2</v>
      </c>
      <c r="C42" s="7" t="s">
        <v>123</v>
      </c>
      <c r="D42" s="7" t="s">
        <v>3</v>
      </c>
      <c r="E42" s="7" t="s">
        <v>6</v>
      </c>
      <c r="F42" s="7" t="s">
        <v>124</v>
      </c>
      <c r="G42" s="7" t="s">
        <v>32</v>
      </c>
      <c r="H42" s="7" t="s">
        <v>30</v>
      </c>
      <c r="I42" s="7" t="s">
        <v>112</v>
      </c>
      <c r="J42" s="8">
        <v>4</v>
      </c>
      <c r="K42" s="9">
        <v>1.85</v>
      </c>
      <c r="L42" s="7" t="s">
        <v>18</v>
      </c>
      <c r="M42" s="61">
        <f>_xlfn.IFS(TableBets[[#This Row],[Win]]="Won",TableBets[[#This Row],[Stake]]*(TableBets[[#This Row],[Odds]]-1),AND(TableBets[[#This Row],[Win]]="Lost",TableBets[[#This Row],[BB]]&lt;&gt;"Y"),-TableBets[[#This Row],[Stake]],TableBets[[#This Row],[Win]]="Sold",-TableBets[[#This Row],[Stake]]+TableBets[[#This Row],[Sold for]],TRUE,0)</f>
        <v>3.4000000000000004</v>
      </c>
      <c r="N42" s="15"/>
      <c r="O42" s="5"/>
      <c r="R42" s="23">
        <f>TableBets[[#This Row],[Date]]</f>
        <v>44826</v>
      </c>
      <c r="S42" s="15">
        <f>TableBets[[#This Row],[Profit]]+$S41</f>
        <v>12.096000000000002</v>
      </c>
    </row>
    <row r="43" spans="1:19" x14ac:dyDescent="0.2">
      <c r="A43" s="19">
        <v>44826</v>
      </c>
      <c r="B43" s="7" t="s">
        <v>2</v>
      </c>
      <c r="C43" s="7" t="s">
        <v>125</v>
      </c>
      <c r="D43" s="7" t="s">
        <v>3</v>
      </c>
      <c r="E43" s="7" t="s">
        <v>6</v>
      </c>
      <c r="F43" s="7" t="s">
        <v>126</v>
      </c>
      <c r="G43" s="7" t="s">
        <v>30</v>
      </c>
      <c r="H43" s="7" t="s">
        <v>30</v>
      </c>
      <c r="I43" s="7" t="s">
        <v>53</v>
      </c>
      <c r="J43" s="8">
        <v>4</v>
      </c>
      <c r="K43" s="9">
        <v>1.48</v>
      </c>
      <c r="L43" s="7" t="s">
        <v>18</v>
      </c>
      <c r="M43" s="61">
        <f>_xlfn.IFS(TableBets[[#This Row],[Win]]="Won",TableBets[[#This Row],[Stake]]*(TableBets[[#This Row],[Odds]]-1),AND(TableBets[[#This Row],[Win]]="Lost",TableBets[[#This Row],[BB]]&lt;&gt;"Y"),-TableBets[[#This Row],[Stake]],TableBets[[#This Row],[Win]]="Sold",-TableBets[[#This Row],[Stake]]+TableBets[[#This Row],[Sold for]],TRUE,0)</f>
        <v>1.92</v>
      </c>
      <c r="N43" s="15"/>
      <c r="O43" s="5"/>
      <c r="R43" s="23">
        <f>TableBets[[#This Row],[Date]]</f>
        <v>44826</v>
      </c>
      <c r="S43" s="15">
        <f>TableBets[[#This Row],[Profit]]+$S42</f>
        <v>14.016000000000002</v>
      </c>
    </row>
    <row r="44" spans="1:19" x14ac:dyDescent="0.2">
      <c r="A44" s="19">
        <v>44826</v>
      </c>
      <c r="B44" s="7" t="s">
        <v>2</v>
      </c>
      <c r="C44" s="7" t="s">
        <v>127</v>
      </c>
      <c r="D44" s="7" t="s">
        <v>3</v>
      </c>
      <c r="E44" s="7" t="s">
        <v>6</v>
      </c>
      <c r="F44" s="7" t="s">
        <v>128</v>
      </c>
      <c r="G44" s="7" t="s">
        <v>30</v>
      </c>
      <c r="H44" s="7" t="s">
        <v>30</v>
      </c>
      <c r="I44" s="7" t="s">
        <v>48</v>
      </c>
      <c r="J44" s="8">
        <v>4</v>
      </c>
      <c r="K44" s="9">
        <v>1.35</v>
      </c>
      <c r="L44" s="7" t="s">
        <v>18</v>
      </c>
      <c r="M44" s="61">
        <f>_xlfn.IFS(TableBets[[#This Row],[Win]]="Won",TableBets[[#This Row],[Stake]]*(TableBets[[#This Row],[Odds]]-1),AND(TableBets[[#This Row],[Win]]="Lost",TableBets[[#This Row],[BB]]&lt;&gt;"Y"),-TableBets[[#This Row],[Stake]],TableBets[[#This Row],[Win]]="Sold",-TableBets[[#This Row],[Stake]]+TableBets[[#This Row],[Sold for]],TRUE,0)</f>
        <v>1.4000000000000004</v>
      </c>
      <c r="N44" s="15"/>
      <c r="O44" s="5"/>
      <c r="R44" s="23">
        <f>TableBets[[#This Row],[Date]]</f>
        <v>44826</v>
      </c>
      <c r="S44" s="15">
        <f>TableBets[[#This Row],[Profit]]+$S43</f>
        <v>15.416000000000002</v>
      </c>
    </row>
    <row r="45" spans="1:19" x14ac:dyDescent="0.2">
      <c r="A45" s="19">
        <v>44826</v>
      </c>
      <c r="B45" s="7" t="s">
        <v>2</v>
      </c>
      <c r="C45" s="7" t="s">
        <v>129</v>
      </c>
      <c r="D45" s="7" t="s">
        <v>3</v>
      </c>
      <c r="E45" s="7" t="s">
        <v>6</v>
      </c>
      <c r="F45" s="7" t="s">
        <v>130</v>
      </c>
      <c r="G45" s="7" t="s">
        <v>32</v>
      </c>
      <c r="H45" s="7" t="s">
        <v>30</v>
      </c>
      <c r="I45" s="7" t="s">
        <v>131</v>
      </c>
      <c r="J45" s="8">
        <v>4</v>
      </c>
      <c r="K45" s="9">
        <v>1.52</v>
      </c>
      <c r="L45" s="7" t="s">
        <v>19</v>
      </c>
      <c r="M45" s="61">
        <f>_xlfn.IFS(TableBets[[#This Row],[Win]]="Won",TableBets[[#This Row],[Stake]]*(TableBets[[#This Row],[Odds]]-1),AND(TableBets[[#This Row],[Win]]="Lost",TableBets[[#This Row],[BB]]&lt;&gt;"Y"),-TableBets[[#This Row],[Stake]],TableBets[[#This Row],[Win]]="Sold",-TableBets[[#This Row],[Stake]]+TableBets[[#This Row],[Sold for]],TRUE,0)</f>
        <v>-4</v>
      </c>
      <c r="N45" s="15"/>
      <c r="O45" s="5"/>
      <c r="R45" s="23">
        <f>TableBets[[#This Row],[Date]]</f>
        <v>44826</v>
      </c>
      <c r="S45" s="15">
        <f>TableBets[[#This Row],[Profit]]+$S44</f>
        <v>11.416000000000002</v>
      </c>
    </row>
    <row r="46" spans="1:19" x14ac:dyDescent="0.2">
      <c r="A46" s="19">
        <v>44827</v>
      </c>
      <c r="B46" s="7" t="s">
        <v>2</v>
      </c>
      <c r="C46" s="7" t="s">
        <v>103</v>
      </c>
      <c r="D46" s="7" t="s">
        <v>3</v>
      </c>
      <c r="E46" s="7" t="s">
        <v>6</v>
      </c>
      <c r="F46" s="7" t="s">
        <v>132</v>
      </c>
      <c r="G46" s="7" t="s">
        <v>30</v>
      </c>
      <c r="H46" s="7" t="s">
        <v>30</v>
      </c>
      <c r="I46" s="7" t="s">
        <v>62</v>
      </c>
      <c r="J46" s="8">
        <v>4</v>
      </c>
      <c r="K46" s="9">
        <v>1.51</v>
      </c>
      <c r="L46" s="7" t="s">
        <v>19</v>
      </c>
      <c r="M46" s="61">
        <f>_xlfn.IFS(TableBets[[#This Row],[Win]]="Won",TableBets[[#This Row],[Stake]]*(TableBets[[#This Row],[Odds]]-1),AND(TableBets[[#This Row],[Win]]="Lost",TableBets[[#This Row],[BB]]&lt;&gt;"Y"),-TableBets[[#This Row],[Stake]],TableBets[[#This Row],[Win]]="Sold",-TableBets[[#This Row],[Stake]]+TableBets[[#This Row],[Sold for]],TRUE,0)</f>
        <v>-4</v>
      </c>
      <c r="N46" s="15"/>
      <c r="O46" s="5"/>
      <c r="R46" s="23">
        <f>TableBets[[#This Row],[Date]]</f>
        <v>44827</v>
      </c>
      <c r="S46" s="15">
        <f>TableBets[[#This Row],[Profit]]+$S45</f>
        <v>7.4160000000000021</v>
      </c>
    </row>
    <row r="47" spans="1:19" x14ac:dyDescent="0.2">
      <c r="A47" s="19">
        <v>44827</v>
      </c>
      <c r="B47" s="7" t="s">
        <v>2</v>
      </c>
      <c r="C47" s="7" t="s">
        <v>133</v>
      </c>
      <c r="D47" s="7" t="s">
        <v>3</v>
      </c>
      <c r="E47" s="7" t="s">
        <v>6</v>
      </c>
      <c r="F47" s="7" t="s">
        <v>134</v>
      </c>
      <c r="G47" s="7" t="s">
        <v>30</v>
      </c>
      <c r="H47" s="7" t="s">
        <v>30</v>
      </c>
      <c r="I47" s="7" t="s">
        <v>48</v>
      </c>
      <c r="J47" s="8">
        <v>4</v>
      </c>
      <c r="K47" s="9">
        <v>1.6040000000000001</v>
      </c>
      <c r="L47" s="7" t="s">
        <v>19</v>
      </c>
      <c r="M47" s="61">
        <f>_xlfn.IFS(TableBets[[#This Row],[Win]]="Won",TableBets[[#This Row],[Stake]]*(TableBets[[#This Row],[Odds]]-1),AND(TableBets[[#This Row],[Win]]="Lost",TableBets[[#This Row],[BB]]&lt;&gt;"Y"),-TableBets[[#This Row],[Stake]],TableBets[[#This Row],[Win]]="Sold",-TableBets[[#This Row],[Stake]]+TableBets[[#This Row],[Sold for]],TRUE,0)</f>
        <v>-4</v>
      </c>
      <c r="N47" s="15"/>
      <c r="O47" s="5"/>
      <c r="R47" s="23">
        <f>TableBets[[#This Row],[Date]]</f>
        <v>44827</v>
      </c>
      <c r="S47" s="15">
        <f>TableBets[[#This Row],[Profit]]+$S46</f>
        <v>3.4160000000000021</v>
      </c>
    </row>
    <row r="48" spans="1:19" x14ac:dyDescent="0.2">
      <c r="A48" s="19">
        <v>44827</v>
      </c>
      <c r="B48" s="7" t="s">
        <v>2</v>
      </c>
      <c r="C48" s="7" t="s">
        <v>135</v>
      </c>
      <c r="D48" s="7" t="s">
        <v>3</v>
      </c>
      <c r="E48" s="7" t="s">
        <v>6</v>
      </c>
      <c r="F48" s="7" t="s">
        <v>136</v>
      </c>
      <c r="G48" s="7" t="s">
        <v>30</v>
      </c>
      <c r="H48" s="7" t="s">
        <v>30</v>
      </c>
      <c r="I48" s="7" t="s">
        <v>35</v>
      </c>
      <c r="J48" s="8">
        <v>4</v>
      </c>
      <c r="K48" s="9">
        <v>1.4119999999999999</v>
      </c>
      <c r="L48" s="7" t="s">
        <v>18</v>
      </c>
      <c r="M48" s="61">
        <f>_xlfn.IFS(TableBets[[#This Row],[Win]]="Won",TableBets[[#This Row],[Stake]]*(TableBets[[#This Row],[Odds]]-1),AND(TableBets[[#This Row],[Win]]="Lost",TableBets[[#This Row],[BB]]&lt;&gt;"Y"),-TableBets[[#This Row],[Stake]],TableBets[[#This Row],[Win]]="Sold",-TableBets[[#This Row],[Stake]]+TableBets[[#This Row],[Sold for]],TRUE,0)</f>
        <v>1.6479999999999997</v>
      </c>
      <c r="N48" s="15"/>
      <c r="O48" s="5"/>
      <c r="R48" s="23">
        <f>TableBets[[#This Row],[Date]]</f>
        <v>44827</v>
      </c>
      <c r="S48" s="15">
        <f>TableBets[[#This Row],[Profit]]+$S47</f>
        <v>5.0640000000000018</v>
      </c>
    </row>
    <row r="49" spans="1:19" x14ac:dyDescent="0.2">
      <c r="A49" s="19">
        <v>44827</v>
      </c>
      <c r="B49" s="7" t="s">
        <v>4</v>
      </c>
      <c r="C49" s="7" t="s">
        <v>137</v>
      </c>
      <c r="D49" s="7" t="s">
        <v>11</v>
      </c>
      <c r="E49" s="7" t="s">
        <v>6</v>
      </c>
      <c r="F49" s="7" t="s">
        <v>138</v>
      </c>
      <c r="G49" s="7" t="s">
        <v>30</v>
      </c>
      <c r="H49" s="7" t="s">
        <v>30</v>
      </c>
      <c r="I49" s="7" t="s">
        <v>88</v>
      </c>
      <c r="J49" s="8">
        <v>4</v>
      </c>
      <c r="K49" s="9">
        <v>1.532</v>
      </c>
      <c r="L49" s="7" t="s">
        <v>18</v>
      </c>
      <c r="M49" s="61">
        <f>_xlfn.IFS(TableBets[[#This Row],[Win]]="Won",TableBets[[#This Row],[Stake]]*(TableBets[[#This Row],[Odds]]-1),AND(TableBets[[#This Row],[Win]]="Lost",TableBets[[#This Row],[BB]]&lt;&gt;"Y"),-TableBets[[#This Row],[Stake]],TableBets[[#This Row],[Win]]="Sold",-TableBets[[#This Row],[Stake]]+TableBets[[#This Row],[Sold for]],TRUE,0)</f>
        <v>2.1280000000000001</v>
      </c>
      <c r="N49" s="15"/>
      <c r="O49" s="5"/>
      <c r="R49" s="23">
        <f>TableBets[[#This Row],[Date]]</f>
        <v>44827</v>
      </c>
      <c r="S49" s="15">
        <f>TableBets[[#This Row],[Profit]]+$S48</f>
        <v>7.1920000000000019</v>
      </c>
    </row>
    <row r="50" spans="1:19" x14ac:dyDescent="0.2">
      <c r="A50" s="19">
        <v>44827</v>
      </c>
      <c r="B50" s="7" t="s">
        <v>2</v>
      </c>
      <c r="C50" s="7" t="s">
        <v>139</v>
      </c>
      <c r="D50" s="7" t="s">
        <v>3</v>
      </c>
      <c r="E50" s="7" t="s">
        <v>6</v>
      </c>
      <c r="F50" s="7" t="s">
        <v>140</v>
      </c>
      <c r="G50" s="7" t="s">
        <v>32</v>
      </c>
      <c r="H50" s="7" t="s">
        <v>30</v>
      </c>
      <c r="I50" s="7" t="s">
        <v>115</v>
      </c>
      <c r="J50" s="8">
        <v>4</v>
      </c>
      <c r="K50" s="9">
        <v>1.55</v>
      </c>
      <c r="L50" s="7" t="s">
        <v>18</v>
      </c>
      <c r="M50" s="61">
        <f>_xlfn.IFS(TableBets[[#This Row],[Win]]="Won",TableBets[[#This Row],[Stake]]*(TableBets[[#This Row],[Odds]]-1),AND(TableBets[[#This Row],[Win]]="Lost",TableBets[[#This Row],[BB]]&lt;&gt;"Y"),-TableBets[[#This Row],[Stake]],TableBets[[#This Row],[Win]]="Sold",-TableBets[[#This Row],[Stake]]+TableBets[[#This Row],[Sold for]],TRUE,0)</f>
        <v>2.2000000000000002</v>
      </c>
      <c r="N50" s="15"/>
      <c r="O50" s="5"/>
      <c r="R50" s="23">
        <f>TableBets[[#This Row],[Date]]</f>
        <v>44827</v>
      </c>
      <c r="S50" s="15">
        <f>TableBets[[#This Row],[Profit]]+$S49</f>
        <v>9.392000000000003</v>
      </c>
    </row>
    <row r="51" spans="1:19" x14ac:dyDescent="0.2">
      <c r="A51" s="19">
        <v>44827</v>
      </c>
      <c r="B51" s="7" t="s">
        <v>2</v>
      </c>
      <c r="C51" s="7" t="s">
        <v>141</v>
      </c>
      <c r="D51" s="7" t="s">
        <v>13</v>
      </c>
      <c r="E51" s="7" t="s">
        <v>6</v>
      </c>
      <c r="F51" s="7" t="s">
        <v>142</v>
      </c>
      <c r="G51" s="7" t="s">
        <v>30</v>
      </c>
      <c r="H51" s="7" t="s">
        <v>30</v>
      </c>
      <c r="I51" s="7" t="s">
        <v>143</v>
      </c>
      <c r="J51" s="8">
        <v>4</v>
      </c>
      <c r="K51" s="9">
        <v>2.02</v>
      </c>
      <c r="L51" s="7" t="s">
        <v>19</v>
      </c>
      <c r="M51" s="61">
        <f>_xlfn.IFS(TableBets[[#This Row],[Win]]="Won",TableBets[[#This Row],[Stake]]*(TableBets[[#This Row],[Odds]]-1),AND(TableBets[[#This Row],[Win]]="Lost",TableBets[[#This Row],[BB]]&lt;&gt;"Y"),-TableBets[[#This Row],[Stake]],TableBets[[#This Row],[Win]]="Sold",-TableBets[[#This Row],[Stake]]+TableBets[[#This Row],[Sold for]],TRUE,0)</f>
        <v>-4</v>
      </c>
      <c r="N51" s="15"/>
      <c r="O51" s="5"/>
      <c r="R51" s="23">
        <f>TableBets[[#This Row],[Date]]</f>
        <v>44827</v>
      </c>
      <c r="S51" s="15">
        <f>TableBets[[#This Row],[Profit]]+$S50</f>
        <v>5.392000000000003</v>
      </c>
    </row>
    <row r="52" spans="1:19" x14ac:dyDescent="0.2">
      <c r="A52" s="19">
        <v>44827</v>
      </c>
      <c r="B52" s="7" t="s">
        <v>2</v>
      </c>
      <c r="C52" s="7"/>
      <c r="D52" s="7" t="s">
        <v>15</v>
      </c>
      <c r="E52" s="7" t="s">
        <v>6</v>
      </c>
      <c r="F52" s="7"/>
      <c r="G52" s="7" t="s">
        <v>30</v>
      </c>
      <c r="H52" s="7" t="s">
        <v>30</v>
      </c>
      <c r="I52" s="7"/>
      <c r="J52" s="8">
        <v>4</v>
      </c>
      <c r="K52" s="9">
        <v>12.365843999999999</v>
      </c>
      <c r="L52" s="7" t="s">
        <v>19</v>
      </c>
      <c r="M52" s="61">
        <f>_xlfn.IFS(TableBets[[#This Row],[Win]]="Won",TableBets[[#This Row],[Stake]]*(TableBets[[#This Row],[Odds]]-1),AND(TableBets[[#This Row],[Win]]="Lost",TableBets[[#This Row],[BB]]&lt;&gt;"Y"),-TableBets[[#This Row],[Stake]],TableBets[[#This Row],[Win]]="Sold",-TableBets[[#This Row],[Stake]]+TableBets[[#This Row],[Sold for]],TRUE,0)</f>
        <v>-4</v>
      </c>
      <c r="N52" s="15"/>
      <c r="O52" s="5"/>
      <c r="R52" s="23">
        <f>TableBets[[#This Row],[Date]]</f>
        <v>44827</v>
      </c>
      <c r="S52" s="15">
        <f>TableBets[[#This Row],[Profit]]+$S51</f>
        <v>1.392000000000003</v>
      </c>
    </row>
    <row r="53" spans="1:19" x14ac:dyDescent="0.2">
      <c r="A53" s="19">
        <v>44827</v>
      </c>
      <c r="B53" s="7" t="s">
        <v>2</v>
      </c>
      <c r="C53" s="7" t="s">
        <v>144</v>
      </c>
      <c r="D53" s="7" t="s">
        <v>13</v>
      </c>
      <c r="E53" s="7" t="s">
        <v>6</v>
      </c>
      <c r="F53" s="7" t="s">
        <v>145</v>
      </c>
      <c r="G53" s="7" t="s">
        <v>30</v>
      </c>
      <c r="H53" s="7" t="s">
        <v>30</v>
      </c>
      <c r="I53" s="7" t="s">
        <v>146</v>
      </c>
      <c r="J53" s="8"/>
      <c r="K53" s="9"/>
      <c r="L53" s="7" t="s">
        <v>347</v>
      </c>
      <c r="M53" s="61">
        <f>_xlfn.IFS(TableBets[[#This Row],[Win]]="Won",TableBets[[#This Row],[Stake]]*(TableBets[[#This Row],[Odds]]-1),AND(TableBets[[#This Row],[Win]]="Lost",TableBets[[#This Row],[BB]]&lt;&gt;"Y"),-TableBets[[#This Row],[Stake]],TableBets[[#This Row],[Win]]="Sold",-TableBets[[#This Row],[Stake]]+TableBets[[#This Row],[Sold for]],TRUE,0)</f>
        <v>0</v>
      </c>
      <c r="N53" s="15"/>
      <c r="O53" s="5"/>
      <c r="R53" s="23">
        <f>TableBets[[#This Row],[Date]]</f>
        <v>44827</v>
      </c>
      <c r="S53" s="15">
        <f>TableBets[[#This Row],[Profit]]+$S52</f>
        <v>1.392000000000003</v>
      </c>
    </row>
    <row r="54" spans="1:19" x14ac:dyDescent="0.2">
      <c r="A54" s="19">
        <v>44827</v>
      </c>
      <c r="B54" s="7" t="s">
        <v>2</v>
      </c>
      <c r="C54" s="7" t="s">
        <v>133</v>
      </c>
      <c r="D54" s="7" t="s">
        <v>3</v>
      </c>
      <c r="E54" s="7" t="s">
        <v>6</v>
      </c>
      <c r="F54" s="7" t="s">
        <v>134</v>
      </c>
      <c r="G54" s="7" t="s">
        <v>30</v>
      </c>
      <c r="H54" s="7" t="s">
        <v>30</v>
      </c>
      <c r="I54" s="7" t="s">
        <v>48</v>
      </c>
      <c r="J54" s="8"/>
      <c r="K54" s="9"/>
      <c r="L54" s="7" t="s">
        <v>347</v>
      </c>
      <c r="M54" s="61">
        <f>_xlfn.IFS(TableBets[[#This Row],[Win]]="Won",TableBets[[#This Row],[Stake]]*(TableBets[[#This Row],[Odds]]-1),AND(TableBets[[#This Row],[Win]]="Lost",TableBets[[#This Row],[BB]]&lt;&gt;"Y"),-TableBets[[#This Row],[Stake]],TableBets[[#This Row],[Win]]="Sold",-TableBets[[#This Row],[Stake]]+TableBets[[#This Row],[Sold for]],TRUE,0)</f>
        <v>0</v>
      </c>
      <c r="N54" s="15"/>
      <c r="O54" s="5"/>
      <c r="R54" s="23">
        <f>TableBets[[#This Row],[Date]]</f>
        <v>44827</v>
      </c>
      <c r="S54" s="15">
        <f>TableBets[[#This Row],[Profit]]+$S53</f>
        <v>1.392000000000003</v>
      </c>
    </row>
    <row r="55" spans="1:19" x14ac:dyDescent="0.2">
      <c r="A55" s="19">
        <v>44827</v>
      </c>
      <c r="B55" s="7" t="s">
        <v>2</v>
      </c>
      <c r="C55" s="7" t="s">
        <v>147</v>
      </c>
      <c r="D55" s="7" t="s">
        <v>5</v>
      </c>
      <c r="E55" s="7" t="s">
        <v>6</v>
      </c>
      <c r="F55" s="7" t="s">
        <v>148</v>
      </c>
      <c r="G55" s="7" t="s">
        <v>30</v>
      </c>
      <c r="H55" s="7" t="s">
        <v>30</v>
      </c>
      <c r="I55" s="7" t="s">
        <v>38</v>
      </c>
      <c r="J55" s="8"/>
      <c r="K55" s="9"/>
      <c r="L55" s="7" t="s">
        <v>347</v>
      </c>
      <c r="M55" s="61">
        <f>_xlfn.IFS(TableBets[[#This Row],[Win]]="Won",TableBets[[#This Row],[Stake]]*(TableBets[[#This Row],[Odds]]-1),AND(TableBets[[#This Row],[Win]]="Lost",TableBets[[#This Row],[BB]]&lt;&gt;"Y"),-TableBets[[#This Row],[Stake]],TableBets[[#This Row],[Win]]="Sold",-TableBets[[#This Row],[Stake]]+TableBets[[#This Row],[Sold for]],TRUE,0)</f>
        <v>0</v>
      </c>
      <c r="N55" s="15"/>
      <c r="O55" s="5"/>
      <c r="R55" s="23">
        <f>TableBets[[#This Row],[Date]]</f>
        <v>44827</v>
      </c>
      <c r="S55" s="15">
        <f>TableBets[[#This Row],[Profit]]+$S54</f>
        <v>1.392000000000003</v>
      </c>
    </row>
    <row r="56" spans="1:19" x14ac:dyDescent="0.2">
      <c r="A56" s="19">
        <v>44827</v>
      </c>
      <c r="B56" s="7" t="s">
        <v>2</v>
      </c>
      <c r="C56" s="7" t="s">
        <v>66</v>
      </c>
      <c r="D56" s="7" t="s">
        <v>3</v>
      </c>
      <c r="E56" s="7" t="s">
        <v>6</v>
      </c>
      <c r="F56" s="7" t="s">
        <v>149</v>
      </c>
      <c r="G56" s="7" t="s">
        <v>30</v>
      </c>
      <c r="H56" s="7" t="s">
        <v>30</v>
      </c>
      <c r="I56" s="7" t="s">
        <v>48</v>
      </c>
      <c r="J56" s="8"/>
      <c r="K56" s="9"/>
      <c r="L56" s="7" t="s">
        <v>347</v>
      </c>
      <c r="M56" s="61">
        <f>_xlfn.IFS(TableBets[[#This Row],[Win]]="Won",TableBets[[#This Row],[Stake]]*(TableBets[[#This Row],[Odds]]-1),AND(TableBets[[#This Row],[Win]]="Lost",TableBets[[#This Row],[BB]]&lt;&gt;"Y"),-TableBets[[#This Row],[Stake]],TableBets[[#This Row],[Win]]="Sold",-TableBets[[#This Row],[Stake]]+TableBets[[#This Row],[Sold for]],TRUE,0)</f>
        <v>0</v>
      </c>
      <c r="N56" s="15"/>
      <c r="O56" s="5"/>
      <c r="R56" s="23">
        <f>TableBets[[#This Row],[Date]]</f>
        <v>44827</v>
      </c>
      <c r="S56" s="15">
        <f>TableBets[[#This Row],[Profit]]+$S55</f>
        <v>1.392000000000003</v>
      </c>
    </row>
    <row r="57" spans="1:19" x14ac:dyDescent="0.2">
      <c r="A57" s="19">
        <v>44827</v>
      </c>
      <c r="B57" s="7" t="s">
        <v>2</v>
      </c>
      <c r="C57" s="7" t="s">
        <v>150</v>
      </c>
      <c r="D57" s="7" t="s">
        <v>3</v>
      </c>
      <c r="E57" s="7" t="s">
        <v>6</v>
      </c>
      <c r="F57" s="7" t="s">
        <v>151</v>
      </c>
      <c r="G57" s="7" t="s">
        <v>30</v>
      </c>
      <c r="H57" s="7" t="s">
        <v>30</v>
      </c>
      <c r="I57" s="7" t="s">
        <v>152</v>
      </c>
      <c r="J57" s="8">
        <v>4</v>
      </c>
      <c r="K57" s="9">
        <v>1.8</v>
      </c>
      <c r="L57" s="7" t="s">
        <v>19</v>
      </c>
      <c r="M57" s="61">
        <f>_xlfn.IFS(TableBets[[#This Row],[Win]]="Won",TableBets[[#This Row],[Stake]]*(TableBets[[#This Row],[Odds]]-1),AND(TableBets[[#This Row],[Win]]="Lost",TableBets[[#This Row],[BB]]&lt;&gt;"Y"),-TableBets[[#This Row],[Stake]],TableBets[[#This Row],[Win]]="Sold",-TableBets[[#This Row],[Stake]]+TableBets[[#This Row],[Sold for]],TRUE,0)</f>
        <v>-4</v>
      </c>
      <c r="N57" s="15"/>
      <c r="O57" s="5"/>
      <c r="R57" s="23">
        <f>TableBets[[#This Row],[Date]]</f>
        <v>44827</v>
      </c>
      <c r="S57" s="15">
        <f>TableBets[[#This Row],[Profit]]+$S56</f>
        <v>-2.607999999999997</v>
      </c>
    </row>
    <row r="58" spans="1:19" x14ac:dyDescent="0.2">
      <c r="A58" s="19">
        <v>44827</v>
      </c>
      <c r="B58" s="7" t="s">
        <v>2</v>
      </c>
      <c r="C58" s="7" t="s">
        <v>153</v>
      </c>
      <c r="D58" s="7" t="s">
        <v>11</v>
      </c>
      <c r="E58" s="7" t="s">
        <v>6</v>
      </c>
      <c r="F58" s="7" t="s">
        <v>154</v>
      </c>
      <c r="G58" s="7" t="s">
        <v>30</v>
      </c>
      <c r="H58" s="7" t="s">
        <v>30</v>
      </c>
      <c r="I58" s="7" t="s">
        <v>38</v>
      </c>
      <c r="J58" s="8">
        <v>4</v>
      </c>
      <c r="K58" s="9">
        <v>1.4</v>
      </c>
      <c r="L58" s="7" t="s">
        <v>19</v>
      </c>
      <c r="M58" s="61">
        <f>_xlfn.IFS(TableBets[[#This Row],[Win]]="Won",TableBets[[#This Row],[Stake]]*(TableBets[[#This Row],[Odds]]-1),AND(TableBets[[#This Row],[Win]]="Lost",TableBets[[#This Row],[BB]]&lt;&gt;"Y"),-TableBets[[#This Row],[Stake]],TableBets[[#This Row],[Win]]="Sold",-TableBets[[#This Row],[Stake]]+TableBets[[#This Row],[Sold for]],TRUE,0)</f>
        <v>-4</v>
      </c>
      <c r="N58" s="15"/>
      <c r="O58" s="5"/>
      <c r="R58" s="23">
        <f>TableBets[[#This Row],[Date]]</f>
        <v>44827</v>
      </c>
      <c r="S58" s="15">
        <f>TableBets[[#This Row],[Profit]]+$S57</f>
        <v>-6.607999999999997</v>
      </c>
    </row>
    <row r="59" spans="1:19" x14ac:dyDescent="0.2">
      <c r="A59" s="19">
        <v>44827</v>
      </c>
      <c r="B59" s="7" t="s">
        <v>2</v>
      </c>
      <c r="C59" s="7" t="s">
        <v>155</v>
      </c>
      <c r="D59" s="7" t="s">
        <v>13</v>
      </c>
      <c r="E59" s="7" t="s">
        <v>6</v>
      </c>
      <c r="F59" s="7" t="s">
        <v>156</v>
      </c>
      <c r="G59" s="7" t="s">
        <v>30</v>
      </c>
      <c r="H59" s="7" t="s">
        <v>30</v>
      </c>
      <c r="I59" s="7" t="s">
        <v>157</v>
      </c>
      <c r="J59" s="8">
        <v>4</v>
      </c>
      <c r="K59" s="9">
        <v>1.96</v>
      </c>
      <c r="L59" s="7" t="s">
        <v>19</v>
      </c>
      <c r="M59" s="61">
        <f>_xlfn.IFS(TableBets[[#This Row],[Win]]="Won",TableBets[[#This Row],[Stake]]*(TableBets[[#This Row],[Odds]]-1),AND(TableBets[[#This Row],[Win]]="Lost",TableBets[[#This Row],[BB]]&lt;&gt;"Y"),-TableBets[[#This Row],[Stake]],TableBets[[#This Row],[Win]]="Sold",-TableBets[[#This Row],[Stake]]+TableBets[[#This Row],[Sold for]],TRUE,0)</f>
        <v>-4</v>
      </c>
      <c r="N59" s="15"/>
      <c r="O59" s="5"/>
      <c r="R59" s="23">
        <f>TableBets[[#This Row],[Date]]</f>
        <v>44827</v>
      </c>
      <c r="S59" s="15">
        <f>TableBets[[#This Row],[Profit]]+$S58</f>
        <v>-10.607999999999997</v>
      </c>
    </row>
    <row r="60" spans="1:19" x14ac:dyDescent="0.2">
      <c r="A60" s="19">
        <v>44827</v>
      </c>
      <c r="B60" s="7" t="s">
        <v>2</v>
      </c>
      <c r="C60" s="7" t="s">
        <v>103</v>
      </c>
      <c r="D60" s="7" t="s">
        <v>3</v>
      </c>
      <c r="E60" s="7" t="s">
        <v>6</v>
      </c>
      <c r="F60" s="7" t="s">
        <v>148</v>
      </c>
      <c r="G60" s="7" t="s">
        <v>30</v>
      </c>
      <c r="H60" s="7" t="s">
        <v>30</v>
      </c>
      <c r="I60" s="7" t="s">
        <v>38</v>
      </c>
      <c r="J60" s="8">
        <v>4</v>
      </c>
      <c r="K60" s="9">
        <v>2.2400000000000002</v>
      </c>
      <c r="L60" s="7" t="s">
        <v>19</v>
      </c>
      <c r="M60" s="61">
        <f>_xlfn.IFS(TableBets[[#This Row],[Win]]="Won",TableBets[[#This Row],[Stake]]*(TableBets[[#This Row],[Odds]]-1),AND(TableBets[[#This Row],[Win]]="Lost",TableBets[[#This Row],[BB]]&lt;&gt;"Y"),-TableBets[[#This Row],[Stake]],TableBets[[#This Row],[Win]]="Sold",-TableBets[[#This Row],[Stake]]+TableBets[[#This Row],[Sold for]],TRUE,0)</f>
        <v>-4</v>
      </c>
      <c r="N60" s="15"/>
      <c r="O60" s="5"/>
      <c r="R60" s="23">
        <f>TableBets[[#This Row],[Date]]</f>
        <v>44827</v>
      </c>
      <c r="S60" s="15">
        <f>TableBets[[#This Row],[Profit]]+$S59</f>
        <v>-14.607999999999997</v>
      </c>
    </row>
    <row r="61" spans="1:19" x14ac:dyDescent="0.2">
      <c r="A61" s="19">
        <v>44827</v>
      </c>
      <c r="B61" s="7" t="s">
        <v>2</v>
      </c>
      <c r="C61" s="7" t="s">
        <v>125</v>
      </c>
      <c r="D61" s="7" t="s">
        <v>3</v>
      </c>
      <c r="E61" s="7" t="s">
        <v>6</v>
      </c>
      <c r="F61" s="7" t="s">
        <v>158</v>
      </c>
      <c r="G61" s="7" t="s">
        <v>30</v>
      </c>
      <c r="H61" s="7" t="s">
        <v>30</v>
      </c>
      <c r="I61" s="7" t="s">
        <v>159</v>
      </c>
      <c r="J61" s="8">
        <v>4</v>
      </c>
      <c r="K61" s="9">
        <v>1.68</v>
      </c>
      <c r="L61" s="7" t="s">
        <v>18</v>
      </c>
      <c r="M61" s="61">
        <f>_xlfn.IFS(TableBets[[#This Row],[Win]]="Won",TableBets[[#This Row],[Stake]]*(TableBets[[#This Row],[Odds]]-1),AND(TableBets[[#This Row],[Win]]="Lost",TableBets[[#This Row],[BB]]&lt;&gt;"Y"),-TableBets[[#This Row],[Stake]],TableBets[[#This Row],[Win]]="Sold",-TableBets[[#This Row],[Stake]]+TableBets[[#This Row],[Sold for]],TRUE,0)</f>
        <v>2.7199999999999998</v>
      </c>
      <c r="N61" s="15"/>
      <c r="O61" s="5"/>
      <c r="R61" s="23">
        <f>TableBets[[#This Row],[Date]]</f>
        <v>44827</v>
      </c>
      <c r="S61" s="15">
        <f>TableBets[[#This Row],[Profit]]+$S60</f>
        <v>-11.887999999999998</v>
      </c>
    </row>
    <row r="62" spans="1:19" x14ac:dyDescent="0.2">
      <c r="A62" s="19">
        <v>44827</v>
      </c>
      <c r="B62" s="7" t="s">
        <v>2</v>
      </c>
      <c r="C62" s="7" t="s">
        <v>54</v>
      </c>
      <c r="D62" s="7" t="s">
        <v>3</v>
      </c>
      <c r="E62" s="7" t="s">
        <v>6</v>
      </c>
      <c r="F62" s="7" t="s">
        <v>160</v>
      </c>
      <c r="G62" s="7" t="s">
        <v>30</v>
      </c>
      <c r="H62" s="7" t="s">
        <v>30</v>
      </c>
      <c r="I62" s="7" t="s">
        <v>161</v>
      </c>
      <c r="J62" s="8">
        <v>4</v>
      </c>
      <c r="K62" s="9">
        <v>1.5</v>
      </c>
      <c r="L62" s="7" t="s">
        <v>19</v>
      </c>
      <c r="M62" s="61">
        <f>_xlfn.IFS(TableBets[[#This Row],[Win]]="Won",TableBets[[#This Row],[Stake]]*(TableBets[[#This Row],[Odds]]-1),AND(TableBets[[#This Row],[Win]]="Lost",TableBets[[#This Row],[BB]]&lt;&gt;"Y"),-TableBets[[#This Row],[Stake]],TableBets[[#This Row],[Win]]="Sold",-TableBets[[#This Row],[Stake]]+TableBets[[#This Row],[Sold for]],TRUE,0)</f>
        <v>-4</v>
      </c>
      <c r="N62" s="15"/>
      <c r="O62" s="5"/>
      <c r="R62" s="23">
        <f>TableBets[[#This Row],[Date]]</f>
        <v>44827</v>
      </c>
      <c r="S62" s="15">
        <f>TableBets[[#This Row],[Profit]]+$S61</f>
        <v>-15.887999999999998</v>
      </c>
    </row>
    <row r="63" spans="1:19" x14ac:dyDescent="0.2">
      <c r="A63" s="19">
        <v>44827</v>
      </c>
      <c r="B63" s="7" t="s">
        <v>2</v>
      </c>
      <c r="C63" s="7" t="s">
        <v>133</v>
      </c>
      <c r="D63" s="7" t="s">
        <v>3</v>
      </c>
      <c r="E63" s="7" t="s">
        <v>6</v>
      </c>
      <c r="F63" s="7" t="s">
        <v>134</v>
      </c>
      <c r="G63" s="7" t="s">
        <v>30</v>
      </c>
      <c r="H63" s="7" t="s">
        <v>30</v>
      </c>
      <c r="I63" s="7" t="s">
        <v>48</v>
      </c>
      <c r="J63" s="8">
        <v>4</v>
      </c>
      <c r="K63" s="9">
        <v>1.66</v>
      </c>
      <c r="L63" s="7" t="s">
        <v>19</v>
      </c>
      <c r="M63" s="61">
        <f>_xlfn.IFS(TableBets[[#This Row],[Win]]="Won",TableBets[[#This Row],[Stake]]*(TableBets[[#This Row],[Odds]]-1),AND(TableBets[[#This Row],[Win]]="Lost",TableBets[[#This Row],[BB]]&lt;&gt;"Y"),-TableBets[[#This Row],[Stake]],TableBets[[#This Row],[Win]]="Sold",-TableBets[[#This Row],[Stake]]+TableBets[[#This Row],[Sold for]],TRUE,0)</f>
        <v>-4</v>
      </c>
      <c r="N63" s="15"/>
      <c r="O63" s="5"/>
      <c r="R63" s="23">
        <f>TableBets[[#This Row],[Date]]</f>
        <v>44827</v>
      </c>
      <c r="S63" s="15">
        <f>TableBets[[#This Row],[Profit]]+$S62</f>
        <v>-19.887999999999998</v>
      </c>
    </row>
    <row r="64" spans="1:19" x14ac:dyDescent="0.2">
      <c r="A64" s="19">
        <v>44827</v>
      </c>
      <c r="B64" s="7" t="s">
        <v>2</v>
      </c>
      <c r="C64" s="7" t="s">
        <v>162</v>
      </c>
      <c r="D64" s="7" t="s">
        <v>3</v>
      </c>
      <c r="E64" s="7" t="s">
        <v>6</v>
      </c>
      <c r="F64" s="7" t="s">
        <v>163</v>
      </c>
      <c r="G64" s="7" t="s">
        <v>30</v>
      </c>
      <c r="H64" s="7" t="s">
        <v>30</v>
      </c>
      <c r="I64" s="7" t="s">
        <v>97</v>
      </c>
      <c r="J64" s="8">
        <v>4</v>
      </c>
      <c r="K64" s="9">
        <v>1.62</v>
      </c>
      <c r="L64" s="7" t="s">
        <v>18</v>
      </c>
      <c r="M64" s="61">
        <f>_xlfn.IFS(TableBets[[#This Row],[Win]]="Won",TableBets[[#This Row],[Stake]]*(TableBets[[#This Row],[Odds]]-1),AND(TableBets[[#This Row],[Win]]="Lost",TableBets[[#This Row],[BB]]&lt;&gt;"Y"),-TableBets[[#This Row],[Stake]],TableBets[[#This Row],[Win]]="Sold",-TableBets[[#This Row],[Stake]]+TableBets[[#This Row],[Sold for]],TRUE,0)</f>
        <v>2.4800000000000004</v>
      </c>
      <c r="N64" s="15"/>
      <c r="O64" s="5"/>
      <c r="R64" s="23">
        <f>TableBets[[#This Row],[Date]]</f>
        <v>44827</v>
      </c>
      <c r="S64" s="15">
        <f>TableBets[[#This Row],[Profit]]+$S63</f>
        <v>-17.407999999999998</v>
      </c>
    </row>
    <row r="65" spans="1:19" x14ac:dyDescent="0.2">
      <c r="A65" s="19">
        <v>44827</v>
      </c>
      <c r="B65" s="7" t="s">
        <v>2</v>
      </c>
      <c r="C65" s="7" t="s">
        <v>135</v>
      </c>
      <c r="D65" s="7" t="s">
        <v>3</v>
      </c>
      <c r="E65" s="7" t="s">
        <v>6</v>
      </c>
      <c r="F65" s="7" t="s">
        <v>164</v>
      </c>
      <c r="G65" s="7" t="s">
        <v>30</v>
      </c>
      <c r="H65" s="7" t="s">
        <v>30</v>
      </c>
      <c r="I65" s="7" t="s">
        <v>56</v>
      </c>
      <c r="J65" s="8">
        <v>4</v>
      </c>
      <c r="K65" s="9">
        <v>1.62</v>
      </c>
      <c r="L65" s="7" t="s">
        <v>18</v>
      </c>
      <c r="M65" s="61">
        <f>_xlfn.IFS(TableBets[[#This Row],[Win]]="Won",TableBets[[#This Row],[Stake]]*(TableBets[[#This Row],[Odds]]-1),AND(TableBets[[#This Row],[Win]]="Lost",TableBets[[#This Row],[BB]]&lt;&gt;"Y"),-TableBets[[#This Row],[Stake]],TableBets[[#This Row],[Win]]="Sold",-TableBets[[#This Row],[Stake]]+TableBets[[#This Row],[Sold for]],TRUE,0)</f>
        <v>2.4800000000000004</v>
      </c>
      <c r="N65" s="15"/>
      <c r="O65" s="5"/>
      <c r="R65" s="23">
        <f>TableBets[[#This Row],[Date]]</f>
        <v>44827</v>
      </c>
      <c r="S65" s="15">
        <f>TableBets[[#This Row],[Profit]]+$S64</f>
        <v>-14.927999999999997</v>
      </c>
    </row>
    <row r="66" spans="1:19" x14ac:dyDescent="0.2">
      <c r="A66" s="19">
        <v>44827</v>
      </c>
      <c r="B66" s="7" t="s">
        <v>2</v>
      </c>
      <c r="C66" s="7" t="s">
        <v>165</v>
      </c>
      <c r="D66" s="7" t="s">
        <v>13</v>
      </c>
      <c r="E66" s="7" t="s">
        <v>6</v>
      </c>
      <c r="F66" s="7" t="s">
        <v>166</v>
      </c>
      <c r="G66" s="7" t="s">
        <v>30</v>
      </c>
      <c r="H66" s="7" t="s">
        <v>30</v>
      </c>
      <c r="I66" s="7" t="s">
        <v>167</v>
      </c>
      <c r="J66" s="8">
        <v>4</v>
      </c>
      <c r="K66" s="9">
        <v>1.78</v>
      </c>
      <c r="L66" s="7" t="s">
        <v>19</v>
      </c>
      <c r="M66" s="61">
        <f>_xlfn.IFS(TableBets[[#This Row],[Win]]="Won",TableBets[[#This Row],[Stake]]*(TableBets[[#This Row],[Odds]]-1),AND(TableBets[[#This Row],[Win]]="Lost",TableBets[[#This Row],[BB]]&lt;&gt;"Y"),-TableBets[[#This Row],[Stake]],TableBets[[#This Row],[Win]]="Sold",-TableBets[[#This Row],[Stake]]+TableBets[[#This Row],[Sold for]],TRUE,0)</f>
        <v>-4</v>
      </c>
      <c r="N66" s="15"/>
      <c r="O66" s="5"/>
      <c r="R66" s="23">
        <f>TableBets[[#This Row],[Date]]</f>
        <v>44827</v>
      </c>
      <c r="S66" s="15">
        <f>TableBets[[#This Row],[Profit]]+$S65</f>
        <v>-18.927999999999997</v>
      </c>
    </row>
    <row r="67" spans="1:19" x14ac:dyDescent="0.2">
      <c r="A67" s="19">
        <v>44827</v>
      </c>
      <c r="B67" s="7" t="s">
        <v>2</v>
      </c>
      <c r="C67" s="7" t="s">
        <v>123</v>
      </c>
      <c r="D67" s="7" t="s">
        <v>3</v>
      </c>
      <c r="E67" s="7" t="s">
        <v>6</v>
      </c>
      <c r="F67" s="7" t="s">
        <v>168</v>
      </c>
      <c r="G67" s="7" t="s">
        <v>30</v>
      </c>
      <c r="H67" s="7" t="s">
        <v>30</v>
      </c>
      <c r="I67" s="7" t="s">
        <v>169</v>
      </c>
      <c r="J67" s="8">
        <v>4</v>
      </c>
      <c r="K67" s="9">
        <v>1.76</v>
      </c>
      <c r="L67" s="7" t="s">
        <v>18</v>
      </c>
      <c r="M67" s="61">
        <f>_xlfn.IFS(TableBets[[#This Row],[Win]]="Won",TableBets[[#This Row],[Stake]]*(TableBets[[#This Row],[Odds]]-1),AND(TableBets[[#This Row],[Win]]="Lost",TableBets[[#This Row],[BB]]&lt;&gt;"Y"),-TableBets[[#This Row],[Stake]],TableBets[[#This Row],[Win]]="Sold",-TableBets[[#This Row],[Stake]]+TableBets[[#This Row],[Sold for]],TRUE,0)</f>
        <v>3.04</v>
      </c>
      <c r="N67" s="15"/>
      <c r="O67" s="5"/>
      <c r="R67" s="23">
        <f>TableBets[[#This Row],[Date]]</f>
        <v>44827</v>
      </c>
      <c r="S67" s="15">
        <f>TableBets[[#This Row],[Profit]]+$S66</f>
        <v>-15.887999999999998</v>
      </c>
    </row>
    <row r="68" spans="1:19" x14ac:dyDescent="0.2">
      <c r="A68" s="19">
        <v>44827</v>
      </c>
      <c r="B68" s="7" t="s">
        <v>2</v>
      </c>
      <c r="C68" s="7" t="s">
        <v>123</v>
      </c>
      <c r="D68" s="7" t="s">
        <v>3</v>
      </c>
      <c r="E68" s="7" t="s">
        <v>6</v>
      </c>
      <c r="F68" s="7" t="s">
        <v>168</v>
      </c>
      <c r="G68" s="7" t="s">
        <v>30</v>
      </c>
      <c r="H68" s="7" t="s">
        <v>30</v>
      </c>
      <c r="I68" s="7" t="s">
        <v>169</v>
      </c>
      <c r="J68" s="8">
        <v>4</v>
      </c>
      <c r="K68" s="9">
        <v>1.8</v>
      </c>
      <c r="L68" s="7" t="s">
        <v>18</v>
      </c>
      <c r="M68" s="61">
        <f>_xlfn.IFS(TableBets[[#This Row],[Win]]="Won",TableBets[[#This Row],[Stake]]*(TableBets[[#This Row],[Odds]]-1),AND(TableBets[[#This Row],[Win]]="Lost",TableBets[[#This Row],[BB]]&lt;&gt;"Y"),-TableBets[[#This Row],[Stake]],TableBets[[#This Row],[Win]]="Sold",-TableBets[[#This Row],[Stake]]+TableBets[[#This Row],[Sold for]],TRUE,0)</f>
        <v>3.2</v>
      </c>
      <c r="N68" s="15"/>
      <c r="O68" s="5"/>
      <c r="R68" s="23">
        <f>TableBets[[#This Row],[Date]]</f>
        <v>44827</v>
      </c>
      <c r="S68" s="15">
        <f>TableBets[[#This Row],[Profit]]+$S67</f>
        <v>-12.687999999999999</v>
      </c>
    </row>
    <row r="69" spans="1:19" x14ac:dyDescent="0.2">
      <c r="A69" s="19">
        <v>44828</v>
      </c>
      <c r="B69" s="7" t="s">
        <v>2</v>
      </c>
      <c r="C69" s="7" t="s">
        <v>170</v>
      </c>
      <c r="D69" s="7" t="s">
        <v>3</v>
      </c>
      <c r="E69" s="7" t="s">
        <v>6</v>
      </c>
      <c r="F69" s="7" t="s">
        <v>171</v>
      </c>
      <c r="G69" s="7" t="s">
        <v>30</v>
      </c>
      <c r="H69" s="7" t="s">
        <v>30</v>
      </c>
      <c r="I69" s="7" t="s">
        <v>62</v>
      </c>
      <c r="J69" s="8">
        <v>4</v>
      </c>
      <c r="K69" s="9">
        <v>1.9159999999999999</v>
      </c>
      <c r="L69" s="7" t="s">
        <v>18</v>
      </c>
      <c r="M69" s="61">
        <f>_xlfn.IFS(TableBets[[#This Row],[Win]]="Won",TableBets[[#This Row],[Stake]]*(TableBets[[#This Row],[Odds]]-1),AND(TableBets[[#This Row],[Win]]="Lost",TableBets[[#This Row],[BB]]&lt;&gt;"Y"),-TableBets[[#This Row],[Stake]],TableBets[[#This Row],[Win]]="Sold",-TableBets[[#This Row],[Stake]]+TableBets[[#This Row],[Sold for]],TRUE,0)</f>
        <v>3.6639999999999997</v>
      </c>
      <c r="N69" s="15"/>
      <c r="O69" s="5"/>
      <c r="R69" s="23">
        <f>TableBets[[#This Row],[Date]]</f>
        <v>44828</v>
      </c>
      <c r="S69" s="15">
        <f>TableBets[[#This Row],[Profit]]+$S68</f>
        <v>-9.0239999999999991</v>
      </c>
    </row>
    <row r="70" spans="1:19" x14ac:dyDescent="0.2">
      <c r="A70" s="19">
        <v>44828</v>
      </c>
      <c r="B70" s="7" t="s">
        <v>2</v>
      </c>
      <c r="C70" s="7" t="s">
        <v>172</v>
      </c>
      <c r="D70" s="7" t="s">
        <v>3</v>
      </c>
      <c r="E70" s="7" t="s">
        <v>6</v>
      </c>
      <c r="F70" s="7" t="s">
        <v>173</v>
      </c>
      <c r="G70" s="7" t="s">
        <v>30</v>
      </c>
      <c r="H70" s="7" t="s">
        <v>30</v>
      </c>
      <c r="I70" s="7" t="s">
        <v>174</v>
      </c>
      <c r="J70" s="8">
        <v>4</v>
      </c>
      <c r="K70" s="9">
        <v>1.73</v>
      </c>
      <c r="L70" s="7" t="s">
        <v>19</v>
      </c>
      <c r="M70" s="61">
        <f>_xlfn.IFS(TableBets[[#This Row],[Win]]="Won",TableBets[[#This Row],[Stake]]*(TableBets[[#This Row],[Odds]]-1),AND(TableBets[[#This Row],[Win]]="Lost",TableBets[[#This Row],[BB]]&lt;&gt;"Y"),-TableBets[[#This Row],[Stake]],TableBets[[#This Row],[Win]]="Sold",-TableBets[[#This Row],[Stake]]+TableBets[[#This Row],[Sold for]],TRUE,0)</f>
        <v>-4</v>
      </c>
      <c r="N70" s="15"/>
      <c r="O70" s="5"/>
      <c r="R70" s="23">
        <f>TableBets[[#This Row],[Date]]</f>
        <v>44828</v>
      </c>
      <c r="S70" s="15">
        <f>TableBets[[#This Row],[Profit]]+$S69</f>
        <v>-13.023999999999999</v>
      </c>
    </row>
    <row r="71" spans="1:19" x14ac:dyDescent="0.2">
      <c r="A71" s="19">
        <v>44828</v>
      </c>
      <c r="B71" s="7" t="s">
        <v>2</v>
      </c>
      <c r="C71" s="7" t="s">
        <v>39</v>
      </c>
      <c r="D71" s="7" t="s">
        <v>3</v>
      </c>
      <c r="E71" s="7" t="s">
        <v>6</v>
      </c>
      <c r="F71" s="7" t="s">
        <v>175</v>
      </c>
      <c r="G71" s="7" t="s">
        <v>30</v>
      </c>
      <c r="H71" s="7" t="s">
        <v>30</v>
      </c>
      <c r="I71" s="7" t="s">
        <v>176</v>
      </c>
      <c r="J71" s="8">
        <v>4</v>
      </c>
      <c r="K71" s="9">
        <v>1.69</v>
      </c>
      <c r="L71" s="7" t="s">
        <v>19</v>
      </c>
      <c r="M71" s="61">
        <f>_xlfn.IFS(TableBets[[#This Row],[Win]]="Won",TableBets[[#This Row],[Stake]]*(TableBets[[#This Row],[Odds]]-1),AND(TableBets[[#This Row],[Win]]="Lost",TableBets[[#This Row],[BB]]&lt;&gt;"Y"),-TableBets[[#This Row],[Stake]],TableBets[[#This Row],[Win]]="Sold",-TableBets[[#This Row],[Stake]]+TableBets[[#This Row],[Sold for]],TRUE,0)</f>
        <v>-4</v>
      </c>
      <c r="N71" s="15"/>
      <c r="O71" s="5"/>
      <c r="R71" s="23">
        <f>TableBets[[#This Row],[Date]]</f>
        <v>44828</v>
      </c>
      <c r="S71" s="15">
        <f>TableBets[[#This Row],[Profit]]+$S70</f>
        <v>-17.024000000000001</v>
      </c>
    </row>
    <row r="72" spans="1:19" x14ac:dyDescent="0.2">
      <c r="A72" s="19">
        <v>44828</v>
      </c>
      <c r="B72" s="7" t="s">
        <v>2</v>
      </c>
      <c r="C72" s="7" t="s">
        <v>72</v>
      </c>
      <c r="D72" s="7" t="s">
        <v>11</v>
      </c>
      <c r="E72" s="7" t="s">
        <v>6</v>
      </c>
      <c r="F72" s="7" t="s">
        <v>177</v>
      </c>
      <c r="G72" s="7" t="s">
        <v>30</v>
      </c>
      <c r="H72" s="7" t="s">
        <v>30</v>
      </c>
      <c r="I72" s="7" t="s">
        <v>38</v>
      </c>
      <c r="J72" s="8">
        <v>4</v>
      </c>
      <c r="K72" s="9">
        <v>1.72</v>
      </c>
      <c r="L72" s="7" t="s">
        <v>19</v>
      </c>
      <c r="M72" s="61">
        <f>_xlfn.IFS(TableBets[[#This Row],[Win]]="Won",TableBets[[#This Row],[Stake]]*(TableBets[[#This Row],[Odds]]-1),AND(TableBets[[#This Row],[Win]]="Lost",TableBets[[#This Row],[BB]]&lt;&gt;"Y"),-TableBets[[#This Row],[Stake]],TableBets[[#This Row],[Win]]="Sold",-TableBets[[#This Row],[Stake]]+TableBets[[#This Row],[Sold for]],TRUE,0)</f>
        <v>-4</v>
      </c>
      <c r="N72" s="15"/>
      <c r="O72" s="5"/>
      <c r="R72" s="23">
        <f>TableBets[[#This Row],[Date]]</f>
        <v>44828</v>
      </c>
      <c r="S72" s="15">
        <f>TableBets[[#This Row],[Profit]]+$S71</f>
        <v>-21.024000000000001</v>
      </c>
    </row>
    <row r="73" spans="1:19" x14ac:dyDescent="0.2">
      <c r="A73" s="19">
        <v>44828</v>
      </c>
      <c r="B73" s="7" t="s">
        <v>2</v>
      </c>
      <c r="C73" s="7" t="s">
        <v>178</v>
      </c>
      <c r="D73" s="7" t="s">
        <v>3</v>
      </c>
      <c r="E73" s="7" t="s">
        <v>6</v>
      </c>
      <c r="F73" s="7" t="s">
        <v>179</v>
      </c>
      <c r="G73" s="7" t="s">
        <v>30</v>
      </c>
      <c r="H73" s="7" t="s">
        <v>30</v>
      </c>
      <c r="I73" s="7" t="s">
        <v>180</v>
      </c>
      <c r="J73" s="8">
        <v>4</v>
      </c>
      <c r="K73" s="9">
        <v>1.3</v>
      </c>
      <c r="L73" s="7" t="s">
        <v>19</v>
      </c>
      <c r="M73" s="61">
        <f>_xlfn.IFS(TableBets[[#This Row],[Win]]="Won",TableBets[[#This Row],[Stake]]*(TableBets[[#This Row],[Odds]]-1),AND(TableBets[[#This Row],[Win]]="Lost",TableBets[[#This Row],[BB]]&lt;&gt;"Y"),-TableBets[[#This Row],[Stake]],TableBets[[#This Row],[Win]]="Sold",-TableBets[[#This Row],[Stake]]+TableBets[[#This Row],[Sold for]],TRUE,0)</f>
        <v>-4</v>
      </c>
      <c r="N73" s="15"/>
      <c r="O73" s="5"/>
      <c r="R73" s="23">
        <f>TableBets[[#This Row],[Date]]</f>
        <v>44828</v>
      </c>
      <c r="S73" s="15">
        <f>TableBets[[#This Row],[Profit]]+$S72</f>
        <v>-25.024000000000001</v>
      </c>
    </row>
    <row r="74" spans="1:19" x14ac:dyDescent="0.2">
      <c r="A74" s="19">
        <v>44828</v>
      </c>
      <c r="B74" s="7" t="s">
        <v>2</v>
      </c>
      <c r="C74" s="7" t="s">
        <v>54</v>
      </c>
      <c r="D74" s="7" t="s">
        <v>3</v>
      </c>
      <c r="E74" s="7" t="s">
        <v>6</v>
      </c>
      <c r="F74" s="7" t="s">
        <v>181</v>
      </c>
      <c r="G74" s="7" t="s">
        <v>30</v>
      </c>
      <c r="H74" s="7" t="s">
        <v>30</v>
      </c>
      <c r="I74" s="7" t="s">
        <v>65</v>
      </c>
      <c r="J74" s="8">
        <v>4</v>
      </c>
      <c r="K74" s="9">
        <v>1.645</v>
      </c>
      <c r="L74" s="7" t="s">
        <v>18</v>
      </c>
      <c r="M74" s="61">
        <f>_xlfn.IFS(TableBets[[#This Row],[Win]]="Won",TableBets[[#This Row],[Stake]]*(TableBets[[#This Row],[Odds]]-1),AND(TableBets[[#This Row],[Win]]="Lost",TableBets[[#This Row],[BB]]&lt;&gt;"Y"),-TableBets[[#This Row],[Stake]],TableBets[[#This Row],[Win]]="Sold",-TableBets[[#This Row],[Stake]]+TableBets[[#This Row],[Sold for]],TRUE,0)</f>
        <v>2.58</v>
      </c>
      <c r="N74" s="15"/>
      <c r="O74" s="5"/>
      <c r="R74" s="23">
        <f>TableBets[[#This Row],[Date]]</f>
        <v>44828</v>
      </c>
      <c r="S74" s="15">
        <f>TableBets[[#This Row],[Profit]]+$S73</f>
        <v>-22.444000000000003</v>
      </c>
    </row>
    <row r="75" spans="1:19" x14ac:dyDescent="0.2">
      <c r="A75" s="19">
        <v>44828</v>
      </c>
      <c r="B75" s="7" t="s">
        <v>2</v>
      </c>
      <c r="C75" s="7" t="s">
        <v>182</v>
      </c>
      <c r="D75" s="7" t="s">
        <v>11</v>
      </c>
      <c r="E75" s="7" t="s">
        <v>6</v>
      </c>
      <c r="F75" s="7" t="s">
        <v>183</v>
      </c>
      <c r="G75" s="7" t="s">
        <v>30</v>
      </c>
      <c r="H75" s="7" t="s">
        <v>30</v>
      </c>
      <c r="I75" s="7" t="s">
        <v>35</v>
      </c>
      <c r="J75" s="8">
        <v>4</v>
      </c>
      <c r="K75" s="9">
        <v>1.3440000000000001</v>
      </c>
      <c r="L75" s="7" t="s">
        <v>18</v>
      </c>
      <c r="M75" s="61">
        <f>_xlfn.IFS(TableBets[[#This Row],[Win]]="Won",TableBets[[#This Row],[Stake]]*(TableBets[[#This Row],[Odds]]-1),AND(TableBets[[#This Row],[Win]]="Lost",TableBets[[#This Row],[BB]]&lt;&gt;"Y"),-TableBets[[#This Row],[Stake]],TableBets[[#This Row],[Win]]="Sold",-TableBets[[#This Row],[Stake]]+TableBets[[#This Row],[Sold for]],TRUE,0)</f>
        <v>1.3760000000000003</v>
      </c>
      <c r="N75" s="15"/>
      <c r="O75" s="5"/>
      <c r="R75" s="23">
        <f>TableBets[[#This Row],[Date]]</f>
        <v>44828</v>
      </c>
      <c r="S75" s="15">
        <f>TableBets[[#This Row],[Profit]]+$S74</f>
        <v>-21.068000000000001</v>
      </c>
    </row>
    <row r="76" spans="1:19" x14ac:dyDescent="0.2">
      <c r="A76" s="19">
        <v>44828</v>
      </c>
      <c r="B76" s="7" t="s">
        <v>2</v>
      </c>
      <c r="C76" s="7" t="s">
        <v>184</v>
      </c>
      <c r="D76" s="7" t="s">
        <v>13</v>
      </c>
      <c r="E76" s="7" t="s">
        <v>6</v>
      </c>
      <c r="F76" s="7" t="s">
        <v>185</v>
      </c>
      <c r="G76" s="7" t="s">
        <v>30</v>
      </c>
      <c r="H76" s="7" t="s">
        <v>30</v>
      </c>
      <c r="I76" s="7" t="s">
        <v>186</v>
      </c>
      <c r="J76" s="8">
        <v>4</v>
      </c>
      <c r="K76" s="9">
        <v>1.56</v>
      </c>
      <c r="L76" s="7" t="s">
        <v>19</v>
      </c>
      <c r="M76" s="61">
        <f>_xlfn.IFS(TableBets[[#This Row],[Win]]="Won",TableBets[[#This Row],[Stake]]*(TableBets[[#This Row],[Odds]]-1),AND(TableBets[[#This Row],[Win]]="Lost",TableBets[[#This Row],[BB]]&lt;&gt;"Y"),-TableBets[[#This Row],[Stake]],TableBets[[#This Row],[Win]]="Sold",-TableBets[[#This Row],[Stake]]+TableBets[[#This Row],[Sold for]],TRUE,0)</f>
        <v>-4</v>
      </c>
      <c r="N76" s="15"/>
      <c r="O76" s="5"/>
      <c r="R76" s="23">
        <f>TableBets[[#This Row],[Date]]</f>
        <v>44828</v>
      </c>
      <c r="S76" s="15">
        <f>TableBets[[#This Row],[Profit]]+$S75</f>
        <v>-25.068000000000001</v>
      </c>
    </row>
    <row r="77" spans="1:19" x14ac:dyDescent="0.2">
      <c r="A77" s="19">
        <v>44828</v>
      </c>
      <c r="B77" s="7" t="s">
        <v>2</v>
      </c>
      <c r="C77" s="7" t="s">
        <v>187</v>
      </c>
      <c r="D77" s="7" t="s">
        <v>11</v>
      </c>
      <c r="E77" s="7" t="s">
        <v>6</v>
      </c>
      <c r="F77" s="7" t="s">
        <v>188</v>
      </c>
      <c r="G77" s="7" t="s">
        <v>30</v>
      </c>
      <c r="H77" s="7" t="s">
        <v>30</v>
      </c>
      <c r="I77" s="7" t="s">
        <v>48</v>
      </c>
      <c r="J77" s="8">
        <v>4</v>
      </c>
      <c r="K77" s="9">
        <v>1.82</v>
      </c>
      <c r="L77" s="7" t="s">
        <v>19</v>
      </c>
      <c r="M77" s="61">
        <f>_xlfn.IFS(TableBets[[#This Row],[Win]]="Won",TableBets[[#This Row],[Stake]]*(TableBets[[#This Row],[Odds]]-1),AND(TableBets[[#This Row],[Win]]="Lost",TableBets[[#This Row],[BB]]&lt;&gt;"Y"),-TableBets[[#This Row],[Stake]],TableBets[[#This Row],[Win]]="Sold",-TableBets[[#This Row],[Stake]]+TableBets[[#This Row],[Sold for]],TRUE,0)</f>
        <v>-4</v>
      </c>
      <c r="N77" s="15"/>
      <c r="O77" s="5"/>
      <c r="R77" s="23">
        <f>TableBets[[#This Row],[Date]]</f>
        <v>44828</v>
      </c>
      <c r="S77" s="15">
        <f>TableBets[[#This Row],[Profit]]+$S76</f>
        <v>-29.068000000000001</v>
      </c>
    </row>
    <row r="78" spans="1:19" x14ac:dyDescent="0.2">
      <c r="A78" s="19">
        <v>44828</v>
      </c>
      <c r="B78" s="7" t="s">
        <v>2</v>
      </c>
      <c r="C78" s="7"/>
      <c r="D78" s="7" t="s">
        <v>15</v>
      </c>
      <c r="E78" s="7" t="s">
        <v>6</v>
      </c>
      <c r="F78" s="7"/>
      <c r="G78" s="7" t="s">
        <v>30</v>
      </c>
      <c r="H78" s="7" t="s">
        <v>30</v>
      </c>
      <c r="I78" s="7"/>
      <c r="J78" s="8">
        <v>2</v>
      </c>
      <c r="K78" s="9">
        <v>6.2771299999999997</v>
      </c>
      <c r="L78" s="7" t="s">
        <v>19</v>
      </c>
      <c r="M78" s="61">
        <f>_xlfn.IFS(TableBets[[#This Row],[Win]]="Won",TableBets[[#This Row],[Stake]]*(TableBets[[#This Row],[Odds]]-1),AND(TableBets[[#This Row],[Win]]="Lost",TableBets[[#This Row],[BB]]&lt;&gt;"Y"),-TableBets[[#This Row],[Stake]],TableBets[[#This Row],[Win]]="Sold",-TableBets[[#This Row],[Stake]]+TableBets[[#This Row],[Sold for]],TRUE,0)</f>
        <v>-2</v>
      </c>
      <c r="N78" s="15"/>
      <c r="O78" s="5"/>
      <c r="R78" s="23">
        <f>TableBets[[#This Row],[Date]]</f>
        <v>44828</v>
      </c>
      <c r="S78" s="15">
        <f>TableBets[[#This Row],[Profit]]+$S77</f>
        <v>-31.068000000000001</v>
      </c>
    </row>
    <row r="79" spans="1:19" x14ac:dyDescent="0.2">
      <c r="A79" s="19">
        <v>44828</v>
      </c>
      <c r="B79" s="7" t="s">
        <v>2</v>
      </c>
      <c r="C79" s="7" t="s">
        <v>54</v>
      </c>
      <c r="D79" s="7" t="s">
        <v>3</v>
      </c>
      <c r="E79" s="7" t="s">
        <v>6</v>
      </c>
      <c r="F79" s="7" t="s">
        <v>181</v>
      </c>
      <c r="G79" s="7" t="s">
        <v>30</v>
      </c>
      <c r="H79" s="7" t="s">
        <v>30</v>
      </c>
      <c r="I79" s="7" t="s">
        <v>65</v>
      </c>
      <c r="J79" s="8"/>
      <c r="K79" s="9">
        <v>1.65</v>
      </c>
      <c r="L79" s="7" t="s">
        <v>347</v>
      </c>
      <c r="M79" s="61">
        <f>_xlfn.IFS(TableBets[[#This Row],[Win]]="Won",TableBets[[#This Row],[Stake]]*(TableBets[[#This Row],[Odds]]-1),AND(TableBets[[#This Row],[Win]]="Lost",TableBets[[#This Row],[BB]]&lt;&gt;"Y"),-TableBets[[#This Row],[Stake]],TableBets[[#This Row],[Win]]="Sold",-TableBets[[#This Row],[Stake]]+TableBets[[#This Row],[Sold for]],TRUE,0)</f>
        <v>0</v>
      </c>
      <c r="N79" s="15"/>
      <c r="O79" s="5"/>
      <c r="R79" s="23">
        <f>TableBets[[#This Row],[Date]]</f>
        <v>44828</v>
      </c>
      <c r="S79" s="15">
        <f>TableBets[[#This Row],[Profit]]+$S78</f>
        <v>-31.068000000000001</v>
      </c>
    </row>
    <row r="80" spans="1:19" x14ac:dyDescent="0.2">
      <c r="A80" s="19">
        <v>44828</v>
      </c>
      <c r="B80" s="7" t="s">
        <v>2</v>
      </c>
      <c r="C80" s="7" t="s">
        <v>182</v>
      </c>
      <c r="D80" s="7" t="s">
        <v>11</v>
      </c>
      <c r="E80" s="7" t="s">
        <v>6</v>
      </c>
      <c r="F80" s="7" t="s">
        <v>183</v>
      </c>
      <c r="G80" s="7" t="s">
        <v>30</v>
      </c>
      <c r="H80" s="7" t="s">
        <v>30</v>
      </c>
      <c r="I80" s="7" t="s">
        <v>35</v>
      </c>
      <c r="J80" s="8"/>
      <c r="K80" s="9">
        <v>1.34</v>
      </c>
      <c r="L80" s="7" t="s">
        <v>347</v>
      </c>
      <c r="M80" s="61">
        <f>_xlfn.IFS(TableBets[[#This Row],[Win]]="Won",TableBets[[#This Row],[Stake]]*(TableBets[[#This Row],[Odds]]-1),AND(TableBets[[#This Row],[Win]]="Lost",TableBets[[#This Row],[BB]]&lt;&gt;"Y"),-TableBets[[#This Row],[Stake]],TableBets[[#This Row],[Win]]="Sold",-TableBets[[#This Row],[Stake]]+TableBets[[#This Row],[Sold for]],TRUE,0)</f>
        <v>0</v>
      </c>
      <c r="N80" s="15"/>
      <c r="O80" s="5"/>
      <c r="R80" s="23">
        <f>TableBets[[#This Row],[Date]]</f>
        <v>44828</v>
      </c>
      <c r="S80" s="15">
        <f>TableBets[[#This Row],[Profit]]+$S79</f>
        <v>-31.068000000000001</v>
      </c>
    </row>
    <row r="81" spans="1:19" x14ac:dyDescent="0.2">
      <c r="A81" s="19">
        <v>44828</v>
      </c>
      <c r="B81" s="7" t="s">
        <v>2</v>
      </c>
      <c r="C81" s="7" t="s">
        <v>184</v>
      </c>
      <c r="D81" s="7" t="s">
        <v>13</v>
      </c>
      <c r="E81" s="7" t="s">
        <v>6</v>
      </c>
      <c r="F81" s="7" t="s">
        <v>189</v>
      </c>
      <c r="G81" s="7" t="s">
        <v>30</v>
      </c>
      <c r="H81" s="7" t="s">
        <v>30</v>
      </c>
      <c r="I81" s="7" t="s">
        <v>186</v>
      </c>
      <c r="J81" s="8"/>
      <c r="K81" s="9">
        <v>1.56</v>
      </c>
      <c r="L81" s="7" t="s">
        <v>347</v>
      </c>
      <c r="M81" s="61">
        <f>_xlfn.IFS(TableBets[[#This Row],[Win]]="Won",TableBets[[#This Row],[Stake]]*(TableBets[[#This Row],[Odds]]-1),AND(TableBets[[#This Row],[Win]]="Lost",TableBets[[#This Row],[BB]]&lt;&gt;"Y"),-TableBets[[#This Row],[Stake]],TableBets[[#This Row],[Win]]="Sold",-TableBets[[#This Row],[Stake]]+TableBets[[#This Row],[Sold for]],TRUE,0)</f>
        <v>0</v>
      </c>
      <c r="N81" s="15"/>
      <c r="O81" s="5"/>
      <c r="R81" s="23">
        <f>TableBets[[#This Row],[Date]]</f>
        <v>44828</v>
      </c>
      <c r="S81" s="15">
        <f>TableBets[[#This Row],[Profit]]+$S80</f>
        <v>-31.068000000000001</v>
      </c>
    </row>
    <row r="82" spans="1:19" x14ac:dyDescent="0.2">
      <c r="A82" s="19">
        <v>44828</v>
      </c>
      <c r="B82" s="7" t="s">
        <v>2</v>
      </c>
      <c r="C82" s="7" t="s">
        <v>187</v>
      </c>
      <c r="D82" s="7" t="s">
        <v>11</v>
      </c>
      <c r="E82" s="7" t="s">
        <v>6</v>
      </c>
      <c r="F82" s="7" t="s">
        <v>188</v>
      </c>
      <c r="G82" s="7" t="s">
        <v>30</v>
      </c>
      <c r="H82" s="7" t="s">
        <v>30</v>
      </c>
      <c r="I82" s="7" t="s">
        <v>48</v>
      </c>
      <c r="J82" s="8"/>
      <c r="K82" s="9">
        <v>1.82</v>
      </c>
      <c r="L82" s="7" t="s">
        <v>347</v>
      </c>
      <c r="M82" s="61">
        <f>_xlfn.IFS(TableBets[[#This Row],[Win]]="Won",TableBets[[#This Row],[Stake]]*(TableBets[[#This Row],[Odds]]-1),AND(TableBets[[#This Row],[Win]]="Lost",TableBets[[#This Row],[BB]]&lt;&gt;"Y"),-TableBets[[#This Row],[Stake]],TableBets[[#This Row],[Win]]="Sold",-TableBets[[#This Row],[Stake]]+TableBets[[#This Row],[Sold for]],TRUE,0)</f>
        <v>0</v>
      </c>
      <c r="N82" s="15"/>
      <c r="O82" s="5"/>
      <c r="R82" s="23">
        <f>TableBets[[#This Row],[Date]]</f>
        <v>44828</v>
      </c>
      <c r="S82" s="15">
        <f>TableBets[[#This Row],[Profit]]+$S81</f>
        <v>-31.068000000000001</v>
      </c>
    </row>
    <row r="83" spans="1:19" x14ac:dyDescent="0.2">
      <c r="A83" s="19">
        <v>44829</v>
      </c>
      <c r="B83" s="7" t="s">
        <v>2</v>
      </c>
      <c r="C83" s="7" t="s">
        <v>28</v>
      </c>
      <c r="D83" s="7" t="s">
        <v>3</v>
      </c>
      <c r="E83" s="7" t="s">
        <v>6</v>
      </c>
      <c r="F83" s="7" t="s">
        <v>190</v>
      </c>
      <c r="G83" s="7" t="s">
        <v>30</v>
      </c>
      <c r="H83" s="7" t="s">
        <v>30</v>
      </c>
      <c r="I83" s="7" t="s">
        <v>38</v>
      </c>
      <c r="J83" s="8">
        <v>4</v>
      </c>
      <c r="K83" s="9">
        <v>1.708</v>
      </c>
      <c r="L83" s="7" t="s">
        <v>19</v>
      </c>
      <c r="M83" s="61">
        <f>_xlfn.IFS(TableBets[[#This Row],[Win]]="Won",TableBets[[#This Row],[Stake]]*(TableBets[[#This Row],[Odds]]-1),AND(TableBets[[#This Row],[Win]]="Lost",TableBets[[#This Row],[BB]]&lt;&gt;"Y"),-TableBets[[#This Row],[Stake]],TableBets[[#This Row],[Win]]="Sold",-TableBets[[#This Row],[Stake]]+TableBets[[#This Row],[Sold for]],TRUE,0)</f>
        <v>-4</v>
      </c>
      <c r="N83" s="15"/>
      <c r="O83" s="5"/>
      <c r="R83" s="23">
        <f>TableBets[[#This Row],[Date]]</f>
        <v>44829</v>
      </c>
      <c r="S83" s="15">
        <f>TableBets[[#This Row],[Profit]]+$S82</f>
        <v>-35.067999999999998</v>
      </c>
    </row>
    <row r="84" spans="1:19" x14ac:dyDescent="0.2">
      <c r="A84" s="19">
        <v>44829</v>
      </c>
      <c r="B84" s="7" t="s">
        <v>2</v>
      </c>
      <c r="C84" s="7" t="s">
        <v>121</v>
      </c>
      <c r="D84" s="7" t="s">
        <v>3</v>
      </c>
      <c r="E84" s="7" t="s">
        <v>6</v>
      </c>
      <c r="F84" s="7" t="s">
        <v>191</v>
      </c>
      <c r="G84" s="7" t="s">
        <v>30</v>
      </c>
      <c r="H84" s="7" t="s">
        <v>30</v>
      </c>
      <c r="I84" s="7" t="s">
        <v>35</v>
      </c>
      <c r="J84" s="8">
        <v>5</v>
      </c>
      <c r="K84" s="9">
        <v>1.5980000000000001</v>
      </c>
      <c r="L84" s="7" t="s">
        <v>19</v>
      </c>
      <c r="M84" s="61">
        <f>_xlfn.IFS(TableBets[[#This Row],[Win]]="Won",TableBets[[#This Row],[Stake]]*(TableBets[[#This Row],[Odds]]-1),AND(TableBets[[#This Row],[Win]]="Lost",TableBets[[#This Row],[BB]]&lt;&gt;"Y"),-TableBets[[#This Row],[Stake]],TableBets[[#This Row],[Win]]="Sold",-TableBets[[#This Row],[Stake]]+TableBets[[#This Row],[Sold for]],TRUE,0)</f>
        <v>-5</v>
      </c>
      <c r="N84" s="15"/>
      <c r="O84" s="5"/>
      <c r="R84" s="23">
        <f>TableBets[[#This Row],[Date]]</f>
        <v>44829</v>
      </c>
      <c r="S84" s="15">
        <f>TableBets[[#This Row],[Profit]]+$S83</f>
        <v>-40.067999999999998</v>
      </c>
    </row>
    <row r="85" spans="1:19" x14ac:dyDescent="0.2">
      <c r="A85" s="19">
        <v>44829</v>
      </c>
      <c r="B85" s="7" t="s">
        <v>4</v>
      </c>
      <c r="C85" s="7" t="s">
        <v>192</v>
      </c>
      <c r="D85" s="7" t="s">
        <v>3</v>
      </c>
      <c r="E85" s="7" t="s">
        <v>6</v>
      </c>
      <c r="F85" s="7" t="s">
        <v>193</v>
      </c>
      <c r="G85" s="7" t="s">
        <v>32</v>
      </c>
      <c r="H85" s="7" t="s">
        <v>30</v>
      </c>
      <c r="I85" s="7" t="s">
        <v>194</v>
      </c>
      <c r="J85" s="8">
        <v>4</v>
      </c>
      <c r="K85" s="9">
        <v>1.49</v>
      </c>
      <c r="L85" s="7" t="s">
        <v>19</v>
      </c>
      <c r="M85" s="61">
        <f>_xlfn.IFS(TableBets[[#This Row],[Win]]="Won",TableBets[[#This Row],[Stake]]*(TableBets[[#This Row],[Odds]]-1),AND(TableBets[[#This Row],[Win]]="Lost",TableBets[[#This Row],[BB]]&lt;&gt;"Y"),-TableBets[[#This Row],[Stake]],TableBets[[#This Row],[Win]]="Sold",-TableBets[[#This Row],[Stake]]+TableBets[[#This Row],[Sold for]],TRUE,0)</f>
        <v>-4</v>
      </c>
      <c r="N85" s="15"/>
      <c r="O85" s="5"/>
      <c r="R85" s="23">
        <f>TableBets[[#This Row],[Date]]</f>
        <v>44829</v>
      </c>
      <c r="S85" s="15">
        <f>TableBets[[#This Row],[Profit]]+$S84</f>
        <v>-44.067999999999998</v>
      </c>
    </row>
    <row r="86" spans="1:19" x14ac:dyDescent="0.2">
      <c r="A86" s="19">
        <v>44829</v>
      </c>
      <c r="B86" s="7" t="s">
        <v>2</v>
      </c>
      <c r="C86" s="7" t="s">
        <v>195</v>
      </c>
      <c r="D86" s="7" t="s">
        <v>11</v>
      </c>
      <c r="E86" s="7" t="s">
        <v>6</v>
      </c>
      <c r="F86" s="7" t="s">
        <v>151</v>
      </c>
      <c r="G86" s="7" t="s">
        <v>30</v>
      </c>
      <c r="H86" s="7" t="s">
        <v>30</v>
      </c>
      <c r="I86" s="7" t="s">
        <v>65</v>
      </c>
      <c r="J86" s="8">
        <v>5.94</v>
      </c>
      <c r="K86" s="9">
        <v>1.532</v>
      </c>
      <c r="L86" s="7" t="s">
        <v>18</v>
      </c>
      <c r="M86" s="61">
        <f>_xlfn.IFS(TableBets[[#This Row],[Win]]="Won",TableBets[[#This Row],[Stake]]*(TableBets[[#This Row],[Odds]]-1),AND(TableBets[[#This Row],[Win]]="Lost",TableBets[[#This Row],[BB]]&lt;&gt;"Y"),-TableBets[[#This Row],[Stake]],TableBets[[#This Row],[Win]]="Sold",-TableBets[[#This Row],[Stake]]+TableBets[[#This Row],[Sold for]],TRUE,0)</f>
        <v>3.1600800000000002</v>
      </c>
      <c r="N86" s="15"/>
      <c r="O86" s="5"/>
      <c r="R86" s="23">
        <f>TableBets[[#This Row],[Date]]</f>
        <v>44829</v>
      </c>
      <c r="S86" s="15">
        <f>TableBets[[#This Row],[Profit]]+$S85</f>
        <v>-40.907919999999997</v>
      </c>
    </row>
    <row r="87" spans="1:19" x14ac:dyDescent="0.2">
      <c r="A87" s="19">
        <v>44829</v>
      </c>
      <c r="B87" s="7" t="s">
        <v>2</v>
      </c>
      <c r="C87" s="7" t="s">
        <v>196</v>
      </c>
      <c r="D87" s="7" t="s">
        <v>3</v>
      </c>
      <c r="E87" s="7" t="s">
        <v>6</v>
      </c>
      <c r="F87" s="7" t="s">
        <v>197</v>
      </c>
      <c r="G87" s="7" t="s">
        <v>30</v>
      </c>
      <c r="H87" s="7" t="s">
        <v>30</v>
      </c>
      <c r="I87" s="7" t="s">
        <v>38</v>
      </c>
      <c r="J87" s="8">
        <v>4</v>
      </c>
      <c r="K87" s="9">
        <v>4.37</v>
      </c>
      <c r="L87" s="7" t="s">
        <v>19</v>
      </c>
      <c r="M87" s="61">
        <f>_xlfn.IFS(TableBets[[#This Row],[Win]]="Won",TableBets[[#This Row],[Stake]]*(TableBets[[#This Row],[Odds]]-1),AND(TableBets[[#This Row],[Win]]="Lost",TableBets[[#This Row],[BB]]&lt;&gt;"Y"),-TableBets[[#This Row],[Stake]],TableBets[[#This Row],[Win]]="Sold",-TableBets[[#This Row],[Stake]]+TableBets[[#This Row],[Sold for]],TRUE,0)</f>
        <v>-4</v>
      </c>
      <c r="N87" s="15"/>
      <c r="O87" s="5"/>
      <c r="R87" s="23">
        <f>TableBets[[#This Row],[Date]]</f>
        <v>44829</v>
      </c>
      <c r="S87" s="15">
        <f>TableBets[[#This Row],[Profit]]+$S86</f>
        <v>-44.907919999999997</v>
      </c>
    </row>
    <row r="88" spans="1:19" x14ac:dyDescent="0.2">
      <c r="A88" s="19">
        <v>44829</v>
      </c>
      <c r="B88" s="7" t="s">
        <v>2</v>
      </c>
      <c r="C88" s="7" t="s">
        <v>103</v>
      </c>
      <c r="D88" s="7" t="s">
        <v>3</v>
      </c>
      <c r="E88" s="7" t="s">
        <v>6</v>
      </c>
      <c r="F88" s="7" t="s">
        <v>198</v>
      </c>
      <c r="G88" s="7" t="s">
        <v>30</v>
      </c>
      <c r="H88" s="7" t="s">
        <v>30</v>
      </c>
      <c r="I88" s="7" t="s">
        <v>48</v>
      </c>
      <c r="J88" s="8">
        <v>4</v>
      </c>
      <c r="K88" s="9">
        <v>1.67</v>
      </c>
      <c r="L88" s="7" t="s">
        <v>18</v>
      </c>
      <c r="M88" s="61">
        <f>_xlfn.IFS(TableBets[[#This Row],[Win]]="Won",TableBets[[#This Row],[Stake]]*(TableBets[[#This Row],[Odds]]-1),AND(TableBets[[#This Row],[Win]]="Lost",TableBets[[#This Row],[BB]]&lt;&gt;"Y"),-TableBets[[#This Row],[Stake]],TableBets[[#This Row],[Win]]="Sold",-TableBets[[#This Row],[Stake]]+TableBets[[#This Row],[Sold for]],TRUE,0)</f>
        <v>2.6799999999999997</v>
      </c>
      <c r="N88" s="15"/>
      <c r="O88" s="5"/>
      <c r="R88" s="23">
        <f>TableBets[[#This Row],[Date]]</f>
        <v>44829</v>
      </c>
      <c r="S88" s="15">
        <f>TableBets[[#This Row],[Profit]]+$S87</f>
        <v>-42.227919999999997</v>
      </c>
    </row>
    <row r="89" spans="1:19" x14ac:dyDescent="0.2">
      <c r="A89" s="19">
        <v>44829</v>
      </c>
      <c r="B89" s="7" t="s">
        <v>2</v>
      </c>
      <c r="C89" s="7" t="s">
        <v>121</v>
      </c>
      <c r="D89" s="7" t="s">
        <v>3</v>
      </c>
      <c r="E89" s="7" t="s">
        <v>6</v>
      </c>
      <c r="F89" s="7" t="s">
        <v>191</v>
      </c>
      <c r="G89" s="7" t="s">
        <v>30</v>
      </c>
      <c r="H89" s="7" t="s">
        <v>30</v>
      </c>
      <c r="I89" s="7" t="s">
        <v>35</v>
      </c>
      <c r="J89" s="8">
        <v>1.1000000000000001</v>
      </c>
      <c r="K89" s="9">
        <v>1.85</v>
      </c>
      <c r="L89" s="7" t="s">
        <v>19</v>
      </c>
      <c r="M89" s="61">
        <f>_xlfn.IFS(TableBets[[#This Row],[Win]]="Won",TableBets[[#This Row],[Stake]]*(TableBets[[#This Row],[Odds]]-1),AND(TableBets[[#This Row],[Win]]="Lost",TableBets[[#This Row],[BB]]&lt;&gt;"Y"),-TableBets[[#This Row],[Stake]],TableBets[[#This Row],[Win]]="Sold",-TableBets[[#This Row],[Stake]]+TableBets[[#This Row],[Sold for]],TRUE,0)</f>
        <v>-1.1000000000000001</v>
      </c>
      <c r="N89" s="15"/>
      <c r="O89" s="5"/>
      <c r="R89" s="23">
        <f>TableBets[[#This Row],[Date]]</f>
        <v>44829</v>
      </c>
      <c r="S89" s="15">
        <f>TableBets[[#This Row],[Profit]]+$S88</f>
        <v>-43.327919999999999</v>
      </c>
    </row>
    <row r="90" spans="1:19" x14ac:dyDescent="0.2">
      <c r="A90" s="19">
        <v>44830</v>
      </c>
      <c r="B90" s="7" t="s">
        <v>2</v>
      </c>
      <c r="C90" s="7" t="s">
        <v>199</v>
      </c>
      <c r="D90" s="7" t="s">
        <v>3</v>
      </c>
      <c r="E90" s="7" t="s">
        <v>6</v>
      </c>
      <c r="F90" s="7" t="s">
        <v>200</v>
      </c>
      <c r="G90" s="7" t="s">
        <v>30</v>
      </c>
      <c r="H90" s="7" t="s">
        <v>30</v>
      </c>
      <c r="I90" s="7" t="s">
        <v>48</v>
      </c>
      <c r="J90" s="8">
        <v>6.68</v>
      </c>
      <c r="K90" s="9">
        <v>1.748</v>
      </c>
      <c r="L90" s="7" t="s">
        <v>18</v>
      </c>
      <c r="M90" s="61">
        <f>_xlfn.IFS(TableBets[[#This Row],[Win]]="Won",TableBets[[#This Row],[Stake]]*(TableBets[[#This Row],[Odds]]-1),AND(TableBets[[#This Row],[Win]]="Lost",TableBets[[#This Row],[BB]]&lt;&gt;"Y"),-TableBets[[#This Row],[Stake]],TableBets[[#This Row],[Win]]="Sold",-TableBets[[#This Row],[Stake]]+TableBets[[#This Row],[Sold for]],TRUE,0)</f>
        <v>4.9966400000000002</v>
      </c>
      <c r="N90" s="15"/>
      <c r="O90" s="5"/>
      <c r="R90" s="23">
        <f>TableBets[[#This Row],[Date]]</f>
        <v>44830</v>
      </c>
      <c r="S90" s="15">
        <f>TableBets[[#This Row],[Profit]]+$S89</f>
        <v>-38.33128</v>
      </c>
    </row>
    <row r="91" spans="1:19" x14ac:dyDescent="0.2">
      <c r="A91" s="19">
        <v>44830</v>
      </c>
      <c r="B91" s="7" t="s">
        <v>2</v>
      </c>
      <c r="C91" s="7" t="s">
        <v>201</v>
      </c>
      <c r="D91" s="7" t="s">
        <v>11</v>
      </c>
      <c r="E91" s="7" t="s">
        <v>6</v>
      </c>
      <c r="F91" s="7" t="s">
        <v>202</v>
      </c>
      <c r="G91" s="7" t="s">
        <v>30</v>
      </c>
      <c r="H91" s="7" t="s">
        <v>30</v>
      </c>
      <c r="I91" s="7" t="s">
        <v>65</v>
      </c>
      <c r="J91" s="8">
        <v>4</v>
      </c>
      <c r="K91" s="9">
        <v>1.7749999999999999</v>
      </c>
      <c r="L91" s="7" t="s">
        <v>19</v>
      </c>
      <c r="M91" s="61">
        <f>_xlfn.IFS(TableBets[[#This Row],[Win]]="Won",TableBets[[#This Row],[Stake]]*(TableBets[[#This Row],[Odds]]-1),AND(TableBets[[#This Row],[Win]]="Lost",TableBets[[#This Row],[BB]]&lt;&gt;"Y"),-TableBets[[#This Row],[Stake]],TableBets[[#This Row],[Win]]="Sold",-TableBets[[#This Row],[Stake]]+TableBets[[#This Row],[Sold for]],TRUE,0)</f>
        <v>-4</v>
      </c>
      <c r="N91" s="15"/>
      <c r="O91" s="5"/>
      <c r="R91" s="23">
        <f>TableBets[[#This Row],[Date]]</f>
        <v>44830</v>
      </c>
      <c r="S91" s="15">
        <f>TableBets[[#This Row],[Profit]]+$S90</f>
        <v>-42.33128</v>
      </c>
    </row>
    <row r="92" spans="1:19" x14ac:dyDescent="0.2">
      <c r="A92" s="19">
        <v>44831</v>
      </c>
      <c r="B92" s="7" t="s">
        <v>2</v>
      </c>
      <c r="C92" s="7" t="s">
        <v>203</v>
      </c>
      <c r="D92" s="7" t="s">
        <v>11</v>
      </c>
      <c r="E92" s="7" t="s">
        <v>6</v>
      </c>
      <c r="F92" s="7" t="s">
        <v>204</v>
      </c>
      <c r="G92" s="7" t="s">
        <v>30</v>
      </c>
      <c r="H92" s="7" t="s">
        <v>30</v>
      </c>
      <c r="I92" s="7" t="s">
        <v>48</v>
      </c>
      <c r="J92" s="8">
        <v>4</v>
      </c>
      <c r="K92" s="9">
        <v>1.45</v>
      </c>
      <c r="L92" s="7" t="s">
        <v>18</v>
      </c>
      <c r="M92" s="61">
        <f>_xlfn.IFS(TableBets[[#This Row],[Win]]="Won",TableBets[[#This Row],[Stake]]*(TableBets[[#This Row],[Odds]]-1),AND(TableBets[[#This Row],[Win]]="Lost",TableBets[[#This Row],[BB]]&lt;&gt;"Y"),-TableBets[[#This Row],[Stake]],TableBets[[#This Row],[Win]]="Sold",-TableBets[[#This Row],[Stake]]+TableBets[[#This Row],[Sold for]],TRUE,0)</f>
        <v>1.7999999999999998</v>
      </c>
      <c r="N92" s="15"/>
      <c r="O92" s="5"/>
      <c r="R92" s="23">
        <f>TableBets[[#This Row],[Date]]</f>
        <v>44831</v>
      </c>
      <c r="S92" s="15">
        <f>TableBets[[#This Row],[Profit]]+$S91</f>
        <v>-40.531280000000002</v>
      </c>
    </row>
    <row r="93" spans="1:19" x14ac:dyDescent="0.2">
      <c r="A93" s="19">
        <v>44831</v>
      </c>
      <c r="B93" s="7" t="s">
        <v>2</v>
      </c>
      <c r="C93" s="7" t="s">
        <v>205</v>
      </c>
      <c r="D93" s="7" t="s">
        <v>11</v>
      </c>
      <c r="E93" s="7" t="s">
        <v>6</v>
      </c>
      <c r="F93" s="7" t="s">
        <v>206</v>
      </c>
      <c r="G93" s="7" t="s">
        <v>30</v>
      </c>
      <c r="H93" s="7" t="s">
        <v>30</v>
      </c>
      <c r="I93" s="7" t="s">
        <v>65</v>
      </c>
      <c r="J93" s="8">
        <v>3.68</v>
      </c>
      <c r="K93" s="9">
        <v>1.6</v>
      </c>
      <c r="L93" s="7" t="s">
        <v>18</v>
      </c>
      <c r="M93" s="61">
        <f>_xlfn.IFS(TableBets[[#This Row],[Win]]="Won",TableBets[[#This Row],[Stake]]*(TableBets[[#This Row],[Odds]]-1),AND(TableBets[[#This Row],[Win]]="Lost",TableBets[[#This Row],[BB]]&lt;&gt;"Y"),-TableBets[[#This Row],[Stake]],TableBets[[#This Row],[Win]]="Sold",-TableBets[[#This Row],[Stake]]+TableBets[[#This Row],[Sold for]],TRUE,0)</f>
        <v>2.2080000000000006</v>
      </c>
      <c r="N93" s="15"/>
      <c r="O93" s="5"/>
      <c r="R93" s="23">
        <f>TableBets[[#This Row],[Date]]</f>
        <v>44831</v>
      </c>
      <c r="S93" s="15">
        <f>TableBets[[#This Row],[Profit]]+$S92</f>
        <v>-38.323280000000004</v>
      </c>
    </row>
    <row r="94" spans="1:19" x14ac:dyDescent="0.2">
      <c r="A94" s="19">
        <v>44831</v>
      </c>
      <c r="B94" s="7" t="s">
        <v>2</v>
      </c>
      <c r="C94" s="7" t="s">
        <v>207</v>
      </c>
      <c r="D94" s="7" t="s">
        <v>3</v>
      </c>
      <c r="E94" s="7" t="s">
        <v>6</v>
      </c>
      <c r="F94" s="7" t="s">
        <v>208</v>
      </c>
      <c r="G94" s="7" t="s">
        <v>32</v>
      </c>
      <c r="H94" s="7" t="s">
        <v>30</v>
      </c>
      <c r="I94" s="7" t="s">
        <v>97</v>
      </c>
      <c r="J94" s="8">
        <v>4</v>
      </c>
      <c r="K94" s="9">
        <v>2.12</v>
      </c>
      <c r="L94" s="7" t="s">
        <v>18</v>
      </c>
      <c r="M94" s="61">
        <f>_xlfn.IFS(TableBets[[#This Row],[Win]]="Won",TableBets[[#This Row],[Stake]]*(TableBets[[#This Row],[Odds]]-1),AND(TableBets[[#This Row],[Win]]="Lost",TableBets[[#This Row],[BB]]&lt;&gt;"Y"),-TableBets[[#This Row],[Stake]],TableBets[[#This Row],[Win]]="Sold",-TableBets[[#This Row],[Stake]]+TableBets[[#This Row],[Sold for]],TRUE,0)</f>
        <v>4.4800000000000004</v>
      </c>
      <c r="N94" s="15"/>
      <c r="O94" s="5"/>
      <c r="R94" s="23">
        <f>TableBets[[#This Row],[Date]]</f>
        <v>44831</v>
      </c>
      <c r="S94" s="15">
        <f>TableBets[[#This Row],[Profit]]+$S93</f>
        <v>-33.843280000000007</v>
      </c>
    </row>
    <row r="95" spans="1:19" x14ac:dyDescent="0.2">
      <c r="A95" s="19">
        <v>44831</v>
      </c>
      <c r="B95" s="7" t="s">
        <v>2</v>
      </c>
      <c r="C95" s="7" t="s">
        <v>209</v>
      </c>
      <c r="D95" s="7" t="s">
        <v>3</v>
      </c>
      <c r="E95" s="7" t="s">
        <v>6</v>
      </c>
      <c r="F95" s="7" t="s">
        <v>210</v>
      </c>
      <c r="G95" s="7" t="s">
        <v>30</v>
      </c>
      <c r="H95" s="7" t="s">
        <v>30</v>
      </c>
      <c r="I95" s="7" t="s">
        <v>65</v>
      </c>
      <c r="J95" s="8">
        <v>4</v>
      </c>
      <c r="K95" s="9">
        <v>1.5349999999999999</v>
      </c>
      <c r="L95" s="7" t="s">
        <v>18</v>
      </c>
      <c r="M95" s="61">
        <f>_xlfn.IFS(TableBets[[#This Row],[Win]]="Won",TableBets[[#This Row],[Stake]]*(TableBets[[#This Row],[Odds]]-1),AND(TableBets[[#This Row],[Win]]="Lost",TableBets[[#This Row],[BB]]&lt;&gt;"Y"),-TableBets[[#This Row],[Stake]],TableBets[[#This Row],[Win]]="Sold",-TableBets[[#This Row],[Stake]]+TableBets[[#This Row],[Sold for]],TRUE,0)</f>
        <v>2.1399999999999997</v>
      </c>
      <c r="N95" s="15"/>
      <c r="O95" s="5"/>
      <c r="R95" s="23">
        <f>TableBets[[#This Row],[Date]]</f>
        <v>44831</v>
      </c>
      <c r="S95" s="15">
        <f>TableBets[[#This Row],[Profit]]+$S94</f>
        <v>-31.703280000000007</v>
      </c>
    </row>
    <row r="96" spans="1:19" x14ac:dyDescent="0.2">
      <c r="A96" s="19">
        <v>44831</v>
      </c>
      <c r="B96" s="7" t="s">
        <v>2</v>
      </c>
      <c r="C96" s="7" t="s">
        <v>36</v>
      </c>
      <c r="D96" s="7" t="s">
        <v>3</v>
      </c>
      <c r="E96" s="7" t="s">
        <v>6</v>
      </c>
      <c r="F96" s="7" t="s">
        <v>211</v>
      </c>
      <c r="G96" s="7" t="s">
        <v>30</v>
      </c>
      <c r="H96" s="7" t="s">
        <v>30</v>
      </c>
      <c r="I96" s="7" t="s">
        <v>35</v>
      </c>
      <c r="J96" s="8">
        <v>4</v>
      </c>
      <c r="K96" s="9">
        <v>1.675</v>
      </c>
      <c r="L96" s="7" t="s">
        <v>18</v>
      </c>
      <c r="M96" s="61">
        <f>_xlfn.IFS(TableBets[[#This Row],[Win]]="Won",TableBets[[#This Row],[Stake]]*(TableBets[[#This Row],[Odds]]-1),AND(TableBets[[#This Row],[Win]]="Lost",TableBets[[#This Row],[BB]]&lt;&gt;"Y"),-TableBets[[#This Row],[Stake]],TableBets[[#This Row],[Win]]="Sold",-TableBets[[#This Row],[Stake]]+TableBets[[#This Row],[Sold for]],TRUE,0)</f>
        <v>2.7</v>
      </c>
      <c r="N96" s="15"/>
      <c r="O96" s="5"/>
      <c r="R96" s="23">
        <f>TableBets[[#This Row],[Date]]</f>
        <v>44831</v>
      </c>
      <c r="S96" s="15">
        <f>TableBets[[#This Row],[Profit]]+$S95</f>
        <v>-29.003280000000007</v>
      </c>
    </row>
    <row r="97" spans="1:19" x14ac:dyDescent="0.2">
      <c r="A97" s="19">
        <v>44832</v>
      </c>
      <c r="B97" s="7" t="s">
        <v>2</v>
      </c>
      <c r="C97" s="7" t="s">
        <v>212</v>
      </c>
      <c r="D97" s="7" t="s">
        <v>11</v>
      </c>
      <c r="E97" s="7" t="s">
        <v>6</v>
      </c>
      <c r="F97" s="7" t="s">
        <v>213</v>
      </c>
      <c r="G97" s="7" t="s">
        <v>30</v>
      </c>
      <c r="H97" s="7" t="s">
        <v>30</v>
      </c>
      <c r="I97" s="7" t="s">
        <v>48</v>
      </c>
      <c r="J97" s="8">
        <v>4</v>
      </c>
      <c r="K97" s="9">
        <v>1.36</v>
      </c>
      <c r="L97" s="7" t="s">
        <v>18</v>
      </c>
      <c r="M97" s="61">
        <f>_xlfn.IFS(TableBets[[#This Row],[Win]]="Won",TableBets[[#This Row],[Stake]]*(TableBets[[#This Row],[Odds]]-1),AND(TableBets[[#This Row],[Win]]="Lost",TableBets[[#This Row],[BB]]&lt;&gt;"Y"),-TableBets[[#This Row],[Stake]],TableBets[[#This Row],[Win]]="Sold",-TableBets[[#This Row],[Stake]]+TableBets[[#This Row],[Sold for]],TRUE,0)</f>
        <v>1.4400000000000004</v>
      </c>
      <c r="N97" s="15"/>
      <c r="O97" s="5"/>
      <c r="R97" s="23">
        <f>TableBets[[#This Row],[Date]]</f>
        <v>44832</v>
      </c>
      <c r="S97" s="15">
        <f>TableBets[[#This Row],[Profit]]+$S96</f>
        <v>-27.563280000000006</v>
      </c>
    </row>
    <row r="98" spans="1:19" x14ac:dyDescent="0.2">
      <c r="A98" s="19">
        <v>44833</v>
      </c>
      <c r="B98" s="7" t="s">
        <v>2</v>
      </c>
      <c r="C98" s="7" t="s">
        <v>95</v>
      </c>
      <c r="D98" s="7" t="s">
        <v>3</v>
      </c>
      <c r="E98" s="7" t="s">
        <v>6</v>
      </c>
      <c r="F98" s="7" t="s">
        <v>214</v>
      </c>
      <c r="G98" s="7" t="s">
        <v>30</v>
      </c>
      <c r="H98" s="7" t="s">
        <v>30</v>
      </c>
      <c r="I98" s="7" t="s">
        <v>41</v>
      </c>
      <c r="J98" s="8">
        <v>4</v>
      </c>
      <c r="K98" s="9">
        <v>1.76</v>
      </c>
      <c r="L98" s="7" t="s">
        <v>18</v>
      </c>
      <c r="M98" s="61">
        <f>_xlfn.IFS(TableBets[[#This Row],[Win]]="Won",TableBets[[#This Row],[Stake]]*(TableBets[[#This Row],[Odds]]-1),AND(TableBets[[#This Row],[Win]]="Lost",TableBets[[#This Row],[BB]]&lt;&gt;"Y"),-TableBets[[#This Row],[Stake]],TableBets[[#This Row],[Win]]="Sold",-TableBets[[#This Row],[Stake]]+TableBets[[#This Row],[Sold for]],TRUE,0)</f>
        <v>3.04</v>
      </c>
      <c r="N98" s="15"/>
      <c r="O98" s="5"/>
      <c r="R98" s="23">
        <f>TableBets[[#This Row],[Date]]</f>
        <v>44833</v>
      </c>
      <c r="S98" s="15">
        <f>TableBets[[#This Row],[Profit]]+$S97</f>
        <v>-24.523280000000007</v>
      </c>
    </row>
    <row r="99" spans="1:19" x14ac:dyDescent="0.2">
      <c r="A99" s="19">
        <v>44834</v>
      </c>
      <c r="B99" s="7" t="s">
        <v>2</v>
      </c>
      <c r="C99" s="7" t="s">
        <v>215</v>
      </c>
      <c r="D99" s="7" t="s">
        <v>11</v>
      </c>
      <c r="E99" s="7" t="s">
        <v>6</v>
      </c>
      <c r="F99" s="7" t="s">
        <v>216</v>
      </c>
      <c r="G99" s="7" t="s">
        <v>30</v>
      </c>
      <c r="H99" s="7" t="s">
        <v>30</v>
      </c>
      <c r="I99" s="7" t="s">
        <v>65</v>
      </c>
      <c r="J99" s="8">
        <v>4</v>
      </c>
      <c r="K99" s="9">
        <v>1.44</v>
      </c>
      <c r="L99" s="7" t="s">
        <v>18</v>
      </c>
      <c r="M99" s="61">
        <f>_xlfn.IFS(TableBets[[#This Row],[Win]]="Won",TableBets[[#This Row],[Stake]]*(TableBets[[#This Row],[Odds]]-1),AND(TableBets[[#This Row],[Win]]="Lost",TableBets[[#This Row],[BB]]&lt;&gt;"Y"),-TableBets[[#This Row],[Stake]],TableBets[[#This Row],[Win]]="Sold",-TableBets[[#This Row],[Stake]]+TableBets[[#This Row],[Sold for]],TRUE,0)</f>
        <v>1.7599999999999998</v>
      </c>
      <c r="N99" s="15"/>
      <c r="O99" s="5"/>
      <c r="R99" s="23">
        <f>TableBets[[#This Row],[Date]]</f>
        <v>44834</v>
      </c>
      <c r="S99" s="15">
        <f>TableBets[[#This Row],[Profit]]+$S98</f>
        <v>-22.763280000000009</v>
      </c>
    </row>
    <row r="100" spans="1:19" x14ac:dyDescent="0.2">
      <c r="A100" s="19">
        <v>44834</v>
      </c>
      <c r="B100" s="7" t="s">
        <v>2</v>
      </c>
      <c r="C100" s="7" t="s">
        <v>217</v>
      </c>
      <c r="D100" s="7" t="s">
        <v>11</v>
      </c>
      <c r="E100" s="7" t="s">
        <v>6</v>
      </c>
      <c r="F100" s="7" t="s">
        <v>218</v>
      </c>
      <c r="G100" s="7" t="s">
        <v>30</v>
      </c>
      <c r="H100" s="7" t="s">
        <v>30</v>
      </c>
      <c r="I100" s="7" t="s">
        <v>38</v>
      </c>
      <c r="J100" s="8">
        <v>4</v>
      </c>
      <c r="K100" s="9">
        <v>1.45</v>
      </c>
      <c r="L100" s="7" t="s">
        <v>19</v>
      </c>
      <c r="M100" s="61">
        <f>_xlfn.IFS(TableBets[[#This Row],[Win]]="Won",TableBets[[#This Row],[Stake]]*(TableBets[[#This Row],[Odds]]-1),AND(TableBets[[#This Row],[Win]]="Lost",TableBets[[#This Row],[BB]]&lt;&gt;"Y"),-TableBets[[#This Row],[Stake]],TableBets[[#This Row],[Win]]="Sold",-TableBets[[#This Row],[Stake]]+TableBets[[#This Row],[Sold for]],TRUE,0)</f>
        <v>-4</v>
      </c>
      <c r="N100" s="15"/>
      <c r="O100" s="5"/>
      <c r="R100" s="23">
        <f>TableBets[[#This Row],[Date]]</f>
        <v>44834</v>
      </c>
      <c r="S100" s="15">
        <f>TableBets[[#This Row],[Profit]]+$S99</f>
        <v>-26.763280000000009</v>
      </c>
    </row>
    <row r="101" spans="1:19" x14ac:dyDescent="0.2">
      <c r="A101" s="19">
        <v>44834</v>
      </c>
      <c r="B101" s="7" t="s">
        <v>2</v>
      </c>
      <c r="C101" s="7" t="s">
        <v>36</v>
      </c>
      <c r="D101" s="7" t="s">
        <v>3</v>
      </c>
      <c r="E101" s="7" t="s">
        <v>6</v>
      </c>
      <c r="F101" s="7" t="s">
        <v>219</v>
      </c>
      <c r="G101" s="7" t="s">
        <v>30</v>
      </c>
      <c r="H101" s="7" t="s">
        <v>30</v>
      </c>
      <c r="I101" s="7" t="s">
        <v>59</v>
      </c>
      <c r="J101" s="8">
        <v>4</v>
      </c>
      <c r="K101" s="9">
        <v>2.04</v>
      </c>
      <c r="L101" s="7" t="s">
        <v>19</v>
      </c>
      <c r="M101" s="61">
        <f>_xlfn.IFS(TableBets[[#This Row],[Win]]="Won",TableBets[[#This Row],[Stake]]*(TableBets[[#This Row],[Odds]]-1),AND(TableBets[[#This Row],[Win]]="Lost",TableBets[[#This Row],[BB]]&lt;&gt;"Y"),-TableBets[[#This Row],[Stake]],TableBets[[#This Row],[Win]]="Sold",-TableBets[[#This Row],[Stake]]+TableBets[[#This Row],[Sold for]],TRUE,0)</f>
        <v>-4</v>
      </c>
      <c r="N101" s="15"/>
      <c r="O101" s="5"/>
      <c r="R101" s="23">
        <f>TableBets[[#This Row],[Date]]</f>
        <v>44834</v>
      </c>
      <c r="S101" s="15">
        <f>TableBets[[#This Row],[Profit]]+$S100</f>
        <v>-30.763280000000009</v>
      </c>
    </row>
    <row r="102" spans="1:19" x14ac:dyDescent="0.2">
      <c r="A102" s="19">
        <v>44834</v>
      </c>
      <c r="B102" s="7" t="s">
        <v>2</v>
      </c>
      <c r="C102" s="7" t="s">
        <v>220</v>
      </c>
      <c r="D102" s="7" t="s">
        <v>3</v>
      </c>
      <c r="E102" s="7" t="s">
        <v>6</v>
      </c>
      <c r="F102" s="7" t="s">
        <v>221</v>
      </c>
      <c r="G102" s="7" t="s">
        <v>30</v>
      </c>
      <c r="H102" s="7" t="s">
        <v>30</v>
      </c>
      <c r="I102" s="7" t="s">
        <v>112</v>
      </c>
      <c r="J102" s="8">
        <v>4</v>
      </c>
      <c r="K102" s="9">
        <v>1.92</v>
      </c>
      <c r="L102" s="7" t="s">
        <v>19</v>
      </c>
      <c r="M102" s="61">
        <f>_xlfn.IFS(TableBets[[#This Row],[Win]]="Won",TableBets[[#This Row],[Stake]]*(TableBets[[#This Row],[Odds]]-1),AND(TableBets[[#This Row],[Win]]="Lost",TableBets[[#This Row],[BB]]&lt;&gt;"Y"),-TableBets[[#This Row],[Stake]],TableBets[[#This Row],[Win]]="Sold",-TableBets[[#This Row],[Stake]]+TableBets[[#This Row],[Sold for]],TRUE,0)</f>
        <v>-4</v>
      </c>
      <c r="N102" s="15"/>
      <c r="O102" s="5"/>
      <c r="R102" s="23">
        <f>TableBets[[#This Row],[Date]]</f>
        <v>44834</v>
      </c>
      <c r="S102" s="15">
        <f>TableBets[[#This Row],[Profit]]+$S101</f>
        <v>-34.763280000000009</v>
      </c>
    </row>
    <row r="103" spans="1:19" x14ac:dyDescent="0.2">
      <c r="A103" s="19">
        <v>44834</v>
      </c>
      <c r="B103" s="7" t="s">
        <v>2</v>
      </c>
      <c r="C103" s="7"/>
      <c r="D103" s="7" t="s">
        <v>13</v>
      </c>
      <c r="E103" s="7" t="s">
        <v>6</v>
      </c>
      <c r="F103" s="7" t="s">
        <v>222</v>
      </c>
      <c r="G103" s="7" t="s">
        <v>30</v>
      </c>
      <c r="H103" s="7" t="s">
        <v>30</v>
      </c>
      <c r="I103" s="7" t="s">
        <v>45</v>
      </c>
      <c r="J103" s="8">
        <v>4</v>
      </c>
      <c r="K103" s="9">
        <v>1.45</v>
      </c>
      <c r="L103" s="7" t="s">
        <v>19</v>
      </c>
      <c r="M103" s="61">
        <f>_xlfn.IFS(TableBets[[#This Row],[Win]]="Won",TableBets[[#This Row],[Stake]]*(TableBets[[#This Row],[Odds]]-1),AND(TableBets[[#This Row],[Win]]="Lost",TableBets[[#This Row],[BB]]&lt;&gt;"Y"),-TableBets[[#This Row],[Stake]],TableBets[[#This Row],[Win]]="Sold",-TableBets[[#This Row],[Stake]]+TableBets[[#This Row],[Sold for]],TRUE,0)</f>
        <v>-4</v>
      </c>
      <c r="N103" s="15"/>
      <c r="O103" s="5"/>
      <c r="R103" s="23">
        <f>TableBets[[#This Row],[Date]]</f>
        <v>44834</v>
      </c>
      <c r="S103" s="15">
        <f>TableBets[[#This Row],[Profit]]+$S102</f>
        <v>-38.763280000000009</v>
      </c>
    </row>
    <row r="104" spans="1:19" x14ac:dyDescent="0.2">
      <c r="A104" s="19">
        <v>44834</v>
      </c>
      <c r="B104" s="7" t="s">
        <v>2</v>
      </c>
      <c r="C104" s="7" t="s">
        <v>223</v>
      </c>
      <c r="D104" s="7" t="s">
        <v>3</v>
      </c>
      <c r="E104" s="7" t="s">
        <v>6</v>
      </c>
      <c r="F104" s="7" t="s">
        <v>224</v>
      </c>
      <c r="G104" s="7" t="s">
        <v>32</v>
      </c>
      <c r="H104" s="7" t="s">
        <v>30</v>
      </c>
      <c r="I104" s="7" t="s">
        <v>167</v>
      </c>
      <c r="J104" s="8">
        <v>4</v>
      </c>
      <c r="K104" s="9">
        <v>1.93</v>
      </c>
      <c r="L104" s="7" t="s">
        <v>18</v>
      </c>
      <c r="M104" s="61">
        <f>_xlfn.IFS(TableBets[[#This Row],[Win]]="Won",TableBets[[#This Row],[Stake]]*(TableBets[[#This Row],[Odds]]-1),AND(TableBets[[#This Row],[Win]]="Lost",TableBets[[#This Row],[BB]]&lt;&gt;"Y"),-TableBets[[#This Row],[Stake]],TableBets[[#This Row],[Win]]="Sold",-TableBets[[#This Row],[Stake]]+TableBets[[#This Row],[Sold for]],TRUE,0)</f>
        <v>3.7199999999999998</v>
      </c>
      <c r="N104" s="15"/>
      <c r="O104" s="5"/>
      <c r="R104" s="23">
        <f>TableBets[[#This Row],[Date]]</f>
        <v>44834</v>
      </c>
      <c r="S104" s="15">
        <f>TableBets[[#This Row],[Profit]]+$S103</f>
        <v>-35.04328000000001</v>
      </c>
    </row>
    <row r="105" spans="1:19" x14ac:dyDescent="0.2">
      <c r="A105" s="19">
        <v>44834</v>
      </c>
      <c r="B105" s="7" t="s">
        <v>2</v>
      </c>
      <c r="C105" s="7" t="s">
        <v>223</v>
      </c>
      <c r="D105" s="7" t="s">
        <v>3</v>
      </c>
      <c r="E105" s="7" t="s">
        <v>6</v>
      </c>
      <c r="F105" s="7" t="s">
        <v>224</v>
      </c>
      <c r="G105" s="7" t="s">
        <v>32</v>
      </c>
      <c r="H105" s="7" t="s">
        <v>30</v>
      </c>
      <c r="I105" s="7" t="s">
        <v>167</v>
      </c>
      <c r="J105" s="8">
        <v>1.49</v>
      </c>
      <c r="K105" s="9">
        <v>2.33</v>
      </c>
      <c r="L105" s="7" t="s">
        <v>18</v>
      </c>
      <c r="M105" s="61">
        <f>_xlfn.IFS(TableBets[[#This Row],[Win]]="Won",TableBets[[#This Row],[Stake]]*(TableBets[[#This Row],[Odds]]-1),AND(TableBets[[#This Row],[Win]]="Lost",TableBets[[#This Row],[BB]]&lt;&gt;"Y"),-TableBets[[#This Row],[Stake]],TableBets[[#This Row],[Win]]="Sold",-TableBets[[#This Row],[Stake]]+TableBets[[#This Row],[Sold for]],TRUE,0)</f>
        <v>1.9817</v>
      </c>
      <c r="N105" s="15"/>
      <c r="O105" s="5"/>
      <c r="R105" s="23">
        <f>TableBets[[#This Row],[Date]]</f>
        <v>44834</v>
      </c>
      <c r="S105" s="15">
        <f>TableBets[[#This Row],[Profit]]+$S104</f>
        <v>-33.061580000000006</v>
      </c>
    </row>
    <row r="106" spans="1:19" x14ac:dyDescent="0.2">
      <c r="A106" s="19">
        <v>44834</v>
      </c>
      <c r="B106" s="7" t="s">
        <v>2</v>
      </c>
      <c r="C106" s="7" t="s">
        <v>225</v>
      </c>
      <c r="D106" s="7" t="s">
        <v>3</v>
      </c>
      <c r="E106" s="7" t="s">
        <v>6</v>
      </c>
      <c r="F106" s="7" t="s">
        <v>216</v>
      </c>
      <c r="G106" s="7" t="s">
        <v>30</v>
      </c>
      <c r="H106" s="7" t="s">
        <v>30</v>
      </c>
      <c r="I106" s="7" t="s">
        <v>65</v>
      </c>
      <c r="J106" s="8">
        <v>4</v>
      </c>
      <c r="K106" s="9">
        <v>1.85</v>
      </c>
      <c r="L106" s="7" t="s">
        <v>18</v>
      </c>
      <c r="M106" s="61">
        <f>_xlfn.IFS(TableBets[[#This Row],[Win]]="Won",TableBets[[#This Row],[Stake]]*(TableBets[[#This Row],[Odds]]-1),AND(TableBets[[#This Row],[Win]]="Lost",TableBets[[#This Row],[BB]]&lt;&gt;"Y"),-TableBets[[#This Row],[Stake]],TableBets[[#This Row],[Win]]="Sold",-TableBets[[#This Row],[Stake]]+TableBets[[#This Row],[Sold for]],TRUE,0)</f>
        <v>3.4000000000000004</v>
      </c>
      <c r="N106" s="15"/>
      <c r="O106" s="5"/>
      <c r="R106" s="23">
        <f>TableBets[[#This Row],[Date]]</f>
        <v>44834</v>
      </c>
      <c r="S106" s="15">
        <f>TableBets[[#This Row],[Profit]]+$S105</f>
        <v>-29.661580000000008</v>
      </c>
    </row>
    <row r="107" spans="1:19" x14ac:dyDescent="0.2">
      <c r="A107" s="19">
        <v>44834</v>
      </c>
      <c r="B107" s="7" t="s">
        <v>2</v>
      </c>
      <c r="C107" s="7" t="s">
        <v>225</v>
      </c>
      <c r="D107" s="7" t="s">
        <v>3</v>
      </c>
      <c r="E107" s="7" t="s">
        <v>6</v>
      </c>
      <c r="F107" s="7" t="s">
        <v>226</v>
      </c>
      <c r="G107" s="7" t="s">
        <v>30</v>
      </c>
      <c r="H107" s="7" t="s">
        <v>30</v>
      </c>
      <c r="I107" s="7" t="s">
        <v>56</v>
      </c>
      <c r="J107" s="8">
        <v>4</v>
      </c>
      <c r="K107" s="9">
        <v>1.82</v>
      </c>
      <c r="L107" s="7" t="s">
        <v>18</v>
      </c>
      <c r="M107" s="61">
        <f>_xlfn.IFS(TableBets[[#This Row],[Win]]="Won",TableBets[[#This Row],[Stake]]*(TableBets[[#This Row],[Odds]]-1),AND(TableBets[[#This Row],[Win]]="Lost",TableBets[[#This Row],[BB]]&lt;&gt;"Y"),-TableBets[[#This Row],[Stake]],TableBets[[#This Row],[Win]]="Sold",-TableBets[[#This Row],[Stake]]+TableBets[[#This Row],[Sold for]],TRUE,0)</f>
        <v>3.2800000000000002</v>
      </c>
      <c r="N107" s="15"/>
      <c r="O107" s="5"/>
      <c r="R107" s="23">
        <f>TableBets[[#This Row],[Date]]</f>
        <v>44834</v>
      </c>
      <c r="S107" s="15">
        <f>TableBets[[#This Row],[Profit]]+$S106</f>
        <v>-26.381580000000007</v>
      </c>
    </row>
    <row r="108" spans="1:19" x14ac:dyDescent="0.2">
      <c r="A108" s="19">
        <v>44835</v>
      </c>
      <c r="B108" s="7" t="s">
        <v>2</v>
      </c>
      <c r="C108" s="7" t="s">
        <v>227</v>
      </c>
      <c r="D108" s="7" t="s">
        <v>11</v>
      </c>
      <c r="E108" s="7" t="s">
        <v>6</v>
      </c>
      <c r="F108" s="7" t="s">
        <v>228</v>
      </c>
      <c r="G108" s="7" t="s">
        <v>30</v>
      </c>
      <c r="H108" s="7" t="s">
        <v>30</v>
      </c>
      <c r="I108" s="7" t="s">
        <v>65</v>
      </c>
      <c r="J108" s="8">
        <v>4</v>
      </c>
      <c r="K108" s="9">
        <v>1.48</v>
      </c>
      <c r="L108" s="7" t="s">
        <v>18</v>
      </c>
      <c r="M108" s="61">
        <f>_xlfn.IFS(TableBets[[#This Row],[Win]]="Won",TableBets[[#This Row],[Stake]]*(TableBets[[#This Row],[Odds]]-1),AND(TableBets[[#This Row],[Win]]="Lost",TableBets[[#This Row],[BB]]&lt;&gt;"Y"),-TableBets[[#This Row],[Stake]],TableBets[[#This Row],[Win]]="Sold",-TableBets[[#This Row],[Stake]]+TableBets[[#This Row],[Sold for]],TRUE,0)</f>
        <v>1.92</v>
      </c>
      <c r="N108" s="15"/>
      <c r="O108" s="5"/>
      <c r="R108" s="23">
        <f>TableBets[[#This Row],[Date]]</f>
        <v>44835</v>
      </c>
      <c r="S108" s="15">
        <f>TableBets[[#This Row],[Profit]]+$S107</f>
        <v>-24.461580000000005</v>
      </c>
    </row>
    <row r="109" spans="1:19" x14ac:dyDescent="0.2">
      <c r="A109" s="19">
        <v>44836</v>
      </c>
      <c r="B109" s="7" t="s">
        <v>2</v>
      </c>
      <c r="C109" s="7" t="s">
        <v>229</v>
      </c>
      <c r="D109" s="7" t="s">
        <v>3</v>
      </c>
      <c r="E109" s="7" t="s">
        <v>6</v>
      </c>
      <c r="F109" s="7" t="s">
        <v>230</v>
      </c>
      <c r="G109" s="7" t="s">
        <v>32</v>
      </c>
      <c r="H109" s="7" t="s">
        <v>30</v>
      </c>
      <c r="I109" s="7" t="s">
        <v>88</v>
      </c>
      <c r="J109" s="8">
        <v>4</v>
      </c>
      <c r="K109" s="9">
        <v>1.45</v>
      </c>
      <c r="L109" s="7" t="s">
        <v>18</v>
      </c>
      <c r="M109" s="61">
        <f>_xlfn.IFS(TableBets[[#This Row],[Win]]="Won",TableBets[[#This Row],[Stake]]*(TableBets[[#This Row],[Odds]]-1),AND(TableBets[[#This Row],[Win]]="Lost",TableBets[[#This Row],[BB]]&lt;&gt;"Y"),-TableBets[[#This Row],[Stake]],TableBets[[#This Row],[Win]]="Sold",-TableBets[[#This Row],[Stake]]+TableBets[[#This Row],[Sold for]],TRUE,0)</f>
        <v>1.7999999999999998</v>
      </c>
      <c r="N109" s="15"/>
      <c r="O109" s="5"/>
      <c r="R109" s="23">
        <f>TableBets[[#This Row],[Date]]</f>
        <v>44836</v>
      </c>
      <c r="S109" s="15">
        <f>TableBets[[#This Row],[Profit]]+$S108</f>
        <v>-22.661580000000004</v>
      </c>
    </row>
    <row r="110" spans="1:19" x14ac:dyDescent="0.2">
      <c r="A110" s="19">
        <v>44836</v>
      </c>
      <c r="B110" s="7" t="s">
        <v>2</v>
      </c>
      <c r="C110" s="7" t="s">
        <v>116</v>
      </c>
      <c r="D110" s="7" t="s">
        <v>3</v>
      </c>
      <c r="E110" s="7" t="s">
        <v>6</v>
      </c>
      <c r="F110" s="7" t="s">
        <v>231</v>
      </c>
      <c r="G110" s="7" t="s">
        <v>30</v>
      </c>
      <c r="H110" s="7" t="s">
        <v>30</v>
      </c>
      <c r="I110" s="7" t="s">
        <v>48</v>
      </c>
      <c r="J110" s="8">
        <v>4</v>
      </c>
      <c r="K110" s="9">
        <v>1.31</v>
      </c>
      <c r="L110" s="7" t="s">
        <v>19</v>
      </c>
      <c r="M110" s="61">
        <f>_xlfn.IFS(TableBets[[#This Row],[Win]]="Won",TableBets[[#This Row],[Stake]]*(TableBets[[#This Row],[Odds]]-1),AND(TableBets[[#This Row],[Win]]="Lost",TableBets[[#This Row],[BB]]&lt;&gt;"Y"),-TableBets[[#This Row],[Stake]],TableBets[[#This Row],[Win]]="Sold",-TableBets[[#This Row],[Stake]]+TableBets[[#This Row],[Sold for]],TRUE,0)</f>
        <v>-4</v>
      </c>
      <c r="N110" s="15"/>
      <c r="O110" s="5"/>
      <c r="R110" s="23">
        <f>TableBets[[#This Row],[Date]]</f>
        <v>44836</v>
      </c>
      <c r="S110" s="15">
        <f>TableBets[[#This Row],[Profit]]+$S109</f>
        <v>-26.661580000000004</v>
      </c>
    </row>
    <row r="111" spans="1:19" x14ac:dyDescent="0.2">
      <c r="A111" s="19">
        <v>44836</v>
      </c>
      <c r="B111" s="7" t="s">
        <v>2</v>
      </c>
      <c r="C111" s="7" t="s">
        <v>232</v>
      </c>
      <c r="D111" s="7" t="s">
        <v>3</v>
      </c>
      <c r="E111" s="7" t="s">
        <v>6</v>
      </c>
      <c r="F111" s="7" t="s">
        <v>233</v>
      </c>
      <c r="G111" s="7" t="s">
        <v>30</v>
      </c>
      <c r="H111" s="7" t="s">
        <v>30</v>
      </c>
      <c r="I111" s="7" t="s">
        <v>38</v>
      </c>
      <c r="J111" s="8">
        <v>4</v>
      </c>
      <c r="K111" s="9">
        <v>1.54</v>
      </c>
      <c r="L111" s="7" t="s">
        <v>18</v>
      </c>
      <c r="M111" s="61">
        <f>_xlfn.IFS(TableBets[[#This Row],[Win]]="Won",TableBets[[#This Row],[Stake]]*(TableBets[[#This Row],[Odds]]-1),AND(TableBets[[#This Row],[Win]]="Lost",TableBets[[#This Row],[BB]]&lt;&gt;"Y"),-TableBets[[#This Row],[Stake]],TableBets[[#This Row],[Win]]="Sold",-TableBets[[#This Row],[Stake]]+TableBets[[#This Row],[Sold for]],TRUE,0)</f>
        <v>2.16</v>
      </c>
      <c r="N111" s="15"/>
      <c r="O111" s="5"/>
      <c r="R111" s="23">
        <f>TableBets[[#This Row],[Date]]</f>
        <v>44836</v>
      </c>
      <c r="S111" s="15">
        <f>TableBets[[#This Row],[Profit]]+$S110</f>
        <v>-24.501580000000004</v>
      </c>
    </row>
    <row r="112" spans="1:19" x14ac:dyDescent="0.2">
      <c r="A112" s="19">
        <v>44836</v>
      </c>
      <c r="B112" s="7" t="s">
        <v>2</v>
      </c>
      <c r="C112" s="7" t="s">
        <v>232</v>
      </c>
      <c r="D112" s="7" t="s">
        <v>3</v>
      </c>
      <c r="E112" s="7" t="s">
        <v>6</v>
      </c>
      <c r="F112" s="7" t="s">
        <v>233</v>
      </c>
      <c r="G112" s="7" t="s">
        <v>32</v>
      </c>
      <c r="H112" s="7" t="s">
        <v>30</v>
      </c>
      <c r="I112" s="7" t="s">
        <v>38</v>
      </c>
      <c r="J112" s="8">
        <v>4</v>
      </c>
      <c r="K112" s="9">
        <v>1.85</v>
      </c>
      <c r="L112" s="7" t="s">
        <v>18</v>
      </c>
      <c r="M112" s="61">
        <f>_xlfn.IFS(TableBets[[#This Row],[Win]]="Won",TableBets[[#This Row],[Stake]]*(TableBets[[#This Row],[Odds]]-1),AND(TableBets[[#This Row],[Win]]="Lost",TableBets[[#This Row],[BB]]&lt;&gt;"Y"),-TableBets[[#This Row],[Stake]],TableBets[[#This Row],[Win]]="Sold",-TableBets[[#This Row],[Stake]]+TableBets[[#This Row],[Sold for]],TRUE,0)</f>
        <v>3.4000000000000004</v>
      </c>
      <c r="N112" s="15"/>
      <c r="O112" s="5"/>
      <c r="R112" s="23">
        <f>TableBets[[#This Row],[Date]]</f>
        <v>44836</v>
      </c>
      <c r="S112" s="15">
        <f>TableBets[[#This Row],[Profit]]+$S111</f>
        <v>-21.101580000000006</v>
      </c>
    </row>
    <row r="113" spans="1:19" x14ac:dyDescent="0.2">
      <c r="A113" s="19">
        <v>44836</v>
      </c>
      <c r="B113" s="7" t="s">
        <v>2</v>
      </c>
      <c r="C113" s="7" t="s">
        <v>229</v>
      </c>
      <c r="D113" s="7" t="s">
        <v>3</v>
      </c>
      <c r="E113" s="7" t="s">
        <v>6</v>
      </c>
      <c r="F113" s="7" t="s">
        <v>234</v>
      </c>
      <c r="G113" s="7" t="s">
        <v>32</v>
      </c>
      <c r="H113" s="7" t="s">
        <v>30</v>
      </c>
      <c r="I113" s="7" t="s">
        <v>167</v>
      </c>
      <c r="J113" s="8">
        <v>4</v>
      </c>
      <c r="K113" s="9">
        <v>1.5</v>
      </c>
      <c r="L113" s="7" t="s">
        <v>18</v>
      </c>
      <c r="M113" s="61">
        <f>_xlfn.IFS(TableBets[[#This Row],[Win]]="Won",TableBets[[#This Row],[Stake]]*(TableBets[[#This Row],[Odds]]-1),AND(TableBets[[#This Row],[Win]]="Lost",TableBets[[#This Row],[BB]]&lt;&gt;"Y"),-TableBets[[#This Row],[Stake]],TableBets[[#This Row],[Win]]="Sold",-TableBets[[#This Row],[Stake]]+TableBets[[#This Row],[Sold for]],TRUE,0)</f>
        <v>2</v>
      </c>
      <c r="N113" s="15"/>
      <c r="O113" s="5"/>
      <c r="R113" s="23">
        <f>TableBets[[#This Row],[Date]]</f>
        <v>44836</v>
      </c>
      <c r="S113" s="15">
        <f>TableBets[[#This Row],[Profit]]+$S112</f>
        <v>-19.101580000000006</v>
      </c>
    </row>
    <row r="114" spans="1:19" x14ac:dyDescent="0.2">
      <c r="A114" s="19">
        <v>44836</v>
      </c>
      <c r="B114" s="7" t="s">
        <v>2</v>
      </c>
      <c r="C114" s="7" t="s">
        <v>229</v>
      </c>
      <c r="D114" s="7" t="s">
        <v>3</v>
      </c>
      <c r="E114" s="7" t="s">
        <v>6</v>
      </c>
      <c r="F114" s="7" t="s">
        <v>235</v>
      </c>
      <c r="G114" s="7" t="s">
        <v>32</v>
      </c>
      <c r="H114" s="7" t="s">
        <v>30</v>
      </c>
      <c r="I114" s="7" t="s">
        <v>236</v>
      </c>
      <c r="J114" s="8">
        <v>4</v>
      </c>
      <c r="K114" s="9">
        <v>1.73</v>
      </c>
      <c r="L114" s="7" t="s">
        <v>19</v>
      </c>
      <c r="M114" s="61">
        <f>_xlfn.IFS(TableBets[[#This Row],[Win]]="Won",TableBets[[#This Row],[Stake]]*(TableBets[[#This Row],[Odds]]-1),AND(TableBets[[#This Row],[Win]]="Lost",TableBets[[#This Row],[BB]]&lt;&gt;"Y"),-TableBets[[#This Row],[Stake]],TableBets[[#This Row],[Win]]="Sold",-TableBets[[#This Row],[Stake]]+TableBets[[#This Row],[Sold for]],TRUE,0)</f>
        <v>-4</v>
      </c>
      <c r="N114" s="15"/>
      <c r="O114" s="5"/>
      <c r="R114" s="23">
        <f>TableBets[[#This Row],[Date]]</f>
        <v>44836</v>
      </c>
      <c r="S114" s="15">
        <f>TableBets[[#This Row],[Profit]]+$S113</f>
        <v>-23.101580000000006</v>
      </c>
    </row>
    <row r="115" spans="1:19" x14ac:dyDescent="0.2">
      <c r="A115" s="19">
        <v>44836</v>
      </c>
      <c r="B115" s="7" t="s">
        <v>2</v>
      </c>
      <c r="C115" s="7" t="s">
        <v>229</v>
      </c>
      <c r="D115" s="7" t="s">
        <v>3</v>
      </c>
      <c r="E115" s="7" t="s">
        <v>6</v>
      </c>
      <c r="F115" s="7" t="s">
        <v>230</v>
      </c>
      <c r="G115" s="7" t="s">
        <v>32</v>
      </c>
      <c r="H115" s="7" t="s">
        <v>30</v>
      </c>
      <c r="I115" s="7" t="s">
        <v>88</v>
      </c>
      <c r="J115" s="8">
        <v>4</v>
      </c>
      <c r="K115" s="9">
        <v>1.49</v>
      </c>
      <c r="L115" s="7" t="s">
        <v>18</v>
      </c>
      <c r="M115" s="61">
        <f>_xlfn.IFS(TableBets[[#This Row],[Win]]="Won",TableBets[[#This Row],[Stake]]*(TableBets[[#This Row],[Odds]]-1),AND(TableBets[[#This Row],[Win]]="Lost",TableBets[[#This Row],[BB]]&lt;&gt;"Y"),-TableBets[[#This Row],[Stake]],TableBets[[#This Row],[Win]]="Sold",-TableBets[[#This Row],[Stake]]+TableBets[[#This Row],[Sold for]],TRUE,0)</f>
        <v>1.96</v>
      </c>
      <c r="N115" s="15"/>
      <c r="O115" s="5"/>
      <c r="R115" s="23">
        <f>TableBets[[#This Row],[Date]]</f>
        <v>44836</v>
      </c>
      <c r="S115" s="15">
        <f>TableBets[[#This Row],[Profit]]+$S114</f>
        <v>-21.141580000000005</v>
      </c>
    </row>
    <row r="116" spans="1:19" x14ac:dyDescent="0.2">
      <c r="A116" s="19">
        <v>44837</v>
      </c>
      <c r="B116" s="7" t="s">
        <v>2</v>
      </c>
      <c r="C116" s="7" t="s">
        <v>237</v>
      </c>
      <c r="D116" s="7" t="s">
        <v>3</v>
      </c>
      <c r="E116" s="7" t="s">
        <v>6</v>
      </c>
      <c r="F116" s="7" t="s">
        <v>238</v>
      </c>
      <c r="G116" s="7" t="s">
        <v>30</v>
      </c>
      <c r="H116" s="7" t="s">
        <v>30</v>
      </c>
      <c r="I116" s="7" t="s">
        <v>56</v>
      </c>
      <c r="J116" s="8">
        <v>6</v>
      </c>
      <c r="K116" s="9">
        <v>1.55</v>
      </c>
      <c r="L116" s="7" t="s">
        <v>18</v>
      </c>
      <c r="M116" s="61">
        <f>_xlfn.IFS(TableBets[[#This Row],[Win]]="Won",TableBets[[#This Row],[Stake]]*(TableBets[[#This Row],[Odds]]-1),AND(TableBets[[#This Row],[Win]]="Lost",TableBets[[#This Row],[BB]]&lt;&gt;"Y"),-TableBets[[#This Row],[Stake]],TableBets[[#This Row],[Win]]="Sold",-TableBets[[#This Row],[Stake]]+TableBets[[#This Row],[Sold for]],TRUE,0)</f>
        <v>3.3000000000000003</v>
      </c>
      <c r="N116" s="15"/>
      <c r="O116" s="5"/>
      <c r="R116" s="23">
        <f>TableBets[[#This Row],[Date]]</f>
        <v>44837</v>
      </c>
      <c r="S116" s="15">
        <f>TableBets[[#This Row],[Profit]]+$S115</f>
        <v>-17.841580000000004</v>
      </c>
    </row>
    <row r="117" spans="1:19" x14ac:dyDescent="0.2">
      <c r="A117" s="19">
        <v>44838</v>
      </c>
      <c r="B117" s="7" t="s">
        <v>2</v>
      </c>
      <c r="C117" s="7" t="s">
        <v>239</v>
      </c>
      <c r="D117" s="7" t="s">
        <v>3</v>
      </c>
      <c r="E117" s="7" t="s">
        <v>6</v>
      </c>
      <c r="F117" s="7" t="s">
        <v>240</v>
      </c>
      <c r="G117" s="7" t="s">
        <v>30</v>
      </c>
      <c r="H117" s="7" t="s">
        <v>30</v>
      </c>
      <c r="I117" s="7" t="s">
        <v>41</v>
      </c>
      <c r="J117" s="8">
        <v>4</v>
      </c>
      <c r="K117" s="9">
        <v>1.6579999999999999</v>
      </c>
      <c r="L117" s="7" t="s">
        <v>18</v>
      </c>
      <c r="M117" s="61">
        <f>_xlfn.IFS(TableBets[[#This Row],[Win]]="Won",TableBets[[#This Row],[Stake]]*(TableBets[[#This Row],[Odds]]-1),AND(TableBets[[#This Row],[Win]]="Lost",TableBets[[#This Row],[BB]]&lt;&gt;"Y"),-TableBets[[#This Row],[Stake]],TableBets[[#This Row],[Win]]="Sold",-TableBets[[#This Row],[Stake]]+TableBets[[#This Row],[Sold for]],TRUE,0)</f>
        <v>2.6319999999999997</v>
      </c>
      <c r="N117" s="15"/>
      <c r="O117" s="5"/>
      <c r="R117" s="23">
        <f>TableBets[[#This Row],[Date]]</f>
        <v>44838</v>
      </c>
      <c r="S117" s="15">
        <f>TableBets[[#This Row],[Profit]]+$S116</f>
        <v>-15.209580000000004</v>
      </c>
    </row>
    <row r="118" spans="1:19" x14ac:dyDescent="0.2">
      <c r="A118" s="19">
        <v>44838</v>
      </c>
      <c r="B118" s="7" t="s">
        <v>2</v>
      </c>
      <c r="C118" s="7" t="s">
        <v>241</v>
      </c>
      <c r="D118" s="7" t="s">
        <v>3</v>
      </c>
      <c r="E118" s="7" t="s">
        <v>6</v>
      </c>
      <c r="F118" s="7" t="s">
        <v>242</v>
      </c>
      <c r="G118" s="7" t="s">
        <v>30</v>
      </c>
      <c r="H118" s="7" t="s">
        <v>30</v>
      </c>
      <c r="I118" s="7" t="s">
        <v>131</v>
      </c>
      <c r="J118" s="8">
        <v>4</v>
      </c>
      <c r="K118" s="9">
        <v>1.6080000000000001</v>
      </c>
      <c r="L118" s="7" t="s">
        <v>19</v>
      </c>
      <c r="M118" s="61">
        <f>_xlfn.IFS(TableBets[[#This Row],[Win]]="Won",TableBets[[#This Row],[Stake]]*(TableBets[[#This Row],[Odds]]-1),AND(TableBets[[#This Row],[Win]]="Lost",TableBets[[#This Row],[BB]]&lt;&gt;"Y"),-TableBets[[#This Row],[Stake]],TableBets[[#This Row],[Win]]="Sold",-TableBets[[#This Row],[Stake]]+TableBets[[#This Row],[Sold for]],TRUE,0)</f>
        <v>-4</v>
      </c>
      <c r="N118" s="15"/>
      <c r="O118" s="5"/>
      <c r="R118" s="23">
        <f>TableBets[[#This Row],[Date]]</f>
        <v>44838</v>
      </c>
      <c r="S118" s="15">
        <f>TableBets[[#This Row],[Profit]]+$S117</f>
        <v>-19.209580000000003</v>
      </c>
    </row>
    <row r="119" spans="1:19" x14ac:dyDescent="0.2">
      <c r="A119" s="19">
        <v>44839</v>
      </c>
      <c r="B119" s="7" t="s">
        <v>2</v>
      </c>
      <c r="C119" s="7" t="s">
        <v>207</v>
      </c>
      <c r="D119" s="7" t="s">
        <v>3</v>
      </c>
      <c r="E119" s="7" t="s">
        <v>6</v>
      </c>
      <c r="F119" s="7" t="s">
        <v>243</v>
      </c>
      <c r="G119" s="7" t="s">
        <v>30</v>
      </c>
      <c r="H119" s="7" t="s">
        <v>30</v>
      </c>
      <c r="I119" s="7" t="s">
        <v>45</v>
      </c>
      <c r="J119" s="8">
        <v>4</v>
      </c>
      <c r="K119" s="9">
        <v>1.53</v>
      </c>
      <c r="L119" s="7" t="s">
        <v>18</v>
      </c>
      <c r="M119" s="61">
        <f>_xlfn.IFS(TableBets[[#This Row],[Win]]="Won",TableBets[[#This Row],[Stake]]*(TableBets[[#This Row],[Odds]]-1),AND(TableBets[[#This Row],[Win]]="Lost",TableBets[[#This Row],[BB]]&lt;&gt;"Y"),-TableBets[[#This Row],[Stake]],TableBets[[#This Row],[Win]]="Sold",-TableBets[[#This Row],[Stake]]+TableBets[[#This Row],[Sold for]],TRUE,0)</f>
        <v>2.12</v>
      </c>
      <c r="N119" s="15"/>
      <c r="O119" s="5"/>
      <c r="R119" s="23">
        <f>TableBets[[#This Row],[Date]]</f>
        <v>44839</v>
      </c>
      <c r="S119" s="15">
        <f>TableBets[[#This Row],[Profit]]+$S118</f>
        <v>-17.089580000000002</v>
      </c>
    </row>
    <row r="120" spans="1:19" x14ac:dyDescent="0.2">
      <c r="A120" s="19">
        <v>44839</v>
      </c>
      <c r="B120" s="7" t="s">
        <v>2</v>
      </c>
      <c r="C120" s="7" t="s">
        <v>125</v>
      </c>
      <c r="D120" s="7" t="s">
        <v>3</v>
      </c>
      <c r="E120" s="7" t="s">
        <v>6</v>
      </c>
      <c r="F120" s="7" t="s">
        <v>244</v>
      </c>
      <c r="G120" s="7" t="s">
        <v>32</v>
      </c>
      <c r="H120" s="7" t="s">
        <v>30</v>
      </c>
      <c r="I120" s="7" t="s">
        <v>161</v>
      </c>
      <c r="J120" s="8">
        <v>4</v>
      </c>
      <c r="K120" s="9">
        <v>2.02</v>
      </c>
      <c r="L120" s="7" t="s">
        <v>19</v>
      </c>
      <c r="M120" s="61">
        <f>_xlfn.IFS(TableBets[[#This Row],[Win]]="Won",TableBets[[#This Row],[Stake]]*(TableBets[[#This Row],[Odds]]-1),AND(TableBets[[#This Row],[Win]]="Lost",TableBets[[#This Row],[BB]]&lt;&gt;"Y"),-TableBets[[#This Row],[Stake]],TableBets[[#This Row],[Win]]="Sold",-TableBets[[#This Row],[Stake]]+TableBets[[#This Row],[Sold for]],TRUE,0)</f>
        <v>-4</v>
      </c>
      <c r="N120" s="15"/>
      <c r="O120" s="5"/>
      <c r="R120" s="23">
        <f>TableBets[[#This Row],[Date]]</f>
        <v>44839</v>
      </c>
      <c r="S120" s="15">
        <f>TableBets[[#This Row],[Profit]]+$S119</f>
        <v>-21.089580000000002</v>
      </c>
    </row>
    <row r="121" spans="1:19" x14ac:dyDescent="0.2">
      <c r="A121" s="19">
        <v>44840</v>
      </c>
      <c r="B121" s="7" t="s">
        <v>2</v>
      </c>
      <c r="C121" s="7" t="s">
        <v>241</v>
      </c>
      <c r="D121" s="7" t="s">
        <v>3</v>
      </c>
      <c r="E121" s="7" t="s">
        <v>6</v>
      </c>
      <c r="F121" s="7" t="s">
        <v>245</v>
      </c>
      <c r="G121" s="7" t="s">
        <v>30</v>
      </c>
      <c r="H121" s="7" t="s">
        <v>30</v>
      </c>
      <c r="I121" s="7" t="s">
        <v>143</v>
      </c>
      <c r="J121" s="8">
        <v>4</v>
      </c>
      <c r="K121" s="9">
        <v>1.41</v>
      </c>
      <c r="L121" s="7" t="s">
        <v>18</v>
      </c>
      <c r="M121" s="61">
        <f>_xlfn.IFS(TableBets[[#This Row],[Win]]="Won",TableBets[[#This Row],[Stake]]*(TableBets[[#This Row],[Odds]]-1),AND(TableBets[[#This Row],[Win]]="Lost",TableBets[[#This Row],[BB]]&lt;&gt;"Y"),-TableBets[[#This Row],[Stake]],TableBets[[#This Row],[Win]]="Sold",-TableBets[[#This Row],[Stake]]+TableBets[[#This Row],[Sold for]],TRUE,0)</f>
        <v>1.6399999999999997</v>
      </c>
      <c r="N121" s="15"/>
      <c r="O121" s="5"/>
      <c r="R121" s="23">
        <f>TableBets[[#This Row],[Date]]</f>
        <v>44840</v>
      </c>
      <c r="S121" s="15">
        <f>TableBets[[#This Row],[Profit]]+$S120</f>
        <v>-19.449580000000001</v>
      </c>
    </row>
    <row r="122" spans="1:19" x14ac:dyDescent="0.2">
      <c r="A122" s="19">
        <v>44840</v>
      </c>
      <c r="B122" s="7" t="s">
        <v>2</v>
      </c>
      <c r="C122" s="7" t="s">
        <v>246</v>
      </c>
      <c r="D122" s="7" t="s">
        <v>3</v>
      </c>
      <c r="E122" s="7" t="s">
        <v>6</v>
      </c>
      <c r="F122" s="7" t="s">
        <v>247</v>
      </c>
      <c r="G122" s="7" t="s">
        <v>30</v>
      </c>
      <c r="H122" s="7" t="s">
        <v>30</v>
      </c>
      <c r="I122" s="7" t="s">
        <v>146</v>
      </c>
      <c r="J122" s="8">
        <v>4</v>
      </c>
      <c r="K122" s="9">
        <v>1.47</v>
      </c>
      <c r="L122" s="7" t="s">
        <v>18</v>
      </c>
      <c r="M122" s="61">
        <f>_xlfn.IFS(TableBets[[#This Row],[Win]]="Won",TableBets[[#This Row],[Stake]]*(TableBets[[#This Row],[Odds]]-1),AND(TableBets[[#This Row],[Win]]="Lost",TableBets[[#This Row],[BB]]&lt;&gt;"Y"),-TableBets[[#This Row],[Stake]],TableBets[[#This Row],[Win]]="Sold",-TableBets[[#This Row],[Stake]]+TableBets[[#This Row],[Sold for]],TRUE,0)</f>
        <v>1.88</v>
      </c>
      <c r="N122" s="15"/>
      <c r="O122" s="5"/>
      <c r="R122" s="23">
        <f>TableBets[[#This Row],[Date]]</f>
        <v>44840</v>
      </c>
      <c r="S122" s="15">
        <f>TableBets[[#This Row],[Profit]]+$S121</f>
        <v>-17.569580000000002</v>
      </c>
    </row>
    <row r="123" spans="1:19" x14ac:dyDescent="0.2">
      <c r="A123" s="19">
        <v>44840</v>
      </c>
      <c r="B123" s="7" t="s">
        <v>2</v>
      </c>
      <c r="C123" s="7" t="s">
        <v>248</v>
      </c>
      <c r="D123" s="7" t="s">
        <v>3</v>
      </c>
      <c r="E123" s="7" t="s">
        <v>6</v>
      </c>
      <c r="F123" s="7" t="s">
        <v>249</v>
      </c>
      <c r="G123" s="7" t="s">
        <v>30</v>
      </c>
      <c r="H123" s="7" t="s">
        <v>30</v>
      </c>
      <c r="I123" s="7" t="s">
        <v>180</v>
      </c>
      <c r="J123" s="8">
        <v>4</v>
      </c>
      <c r="K123" s="9">
        <v>1.31</v>
      </c>
      <c r="L123" s="7" t="s">
        <v>18</v>
      </c>
      <c r="M123" s="61">
        <f>_xlfn.IFS(TableBets[[#This Row],[Win]]="Won",TableBets[[#This Row],[Stake]]*(TableBets[[#This Row],[Odds]]-1),AND(TableBets[[#This Row],[Win]]="Lost",TableBets[[#This Row],[BB]]&lt;&gt;"Y"),-TableBets[[#This Row],[Stake]],TableBets[[#This Row],[Win]]="Sold",-TableBets[[#This Row],[Stake]]+TableBets[[#This Row],[Sold for]],TRUE,0)</f>
        <v>1.2400000000000002</v>
      </c>
      <c r="N123" s="15"/>
      <c r="O123" s="5"/>
      <c r="R123" s="23">
        <f>TableBets[[#This Row],[Date]]</f>
        <v>44840</v>
      </c>
      <c r="S123" s="15">
        <f>TableBets[[#This Row],[Profit]]+$S122</f>
        <v>-16.32958</v>
      </c>
    </row>
    <row r="124" spans="1:19" x14ac:dyDescent="0.2">
      <c r="A124" s="19">
        <v>44840</v>
      </c>
      <c r="B124" s="7" t="s">
        <v>2</v>
      </c>
      <c r="C124" s="7" t="s">
        <v>207</v>
      </c>
      <c r="D124" s="7" t="s">
        <v>3</v>
      </c>
      <c r="E124" s="7" t="s">
        <v>6</v>
      </c>
      <c r="F124" s="7" t="s">
        <v>250</v>
      </c>
      <c r="G124" s="7" t="s">
        <v>32</v>
      </c>
      <c r="H124" s="7" t="s">
        <v>30</v>
      </c>
      <c r="I124" s="7" t="s">
        <v>77</v>
      </c>
      <c r="J124" s="8">
        <v>4</v>
      </c>
      <c r="K124" s="9">
        <v>1.89</v>
      </c>
      <c r="L124" s="7" t="s">
        <v>19</v>
      </c>
      <c r="M124" s="61">
        <f>_xlfn.IFS(TableBets[[#This Row],[Win]]="Won",TableBets[[#This Row],[Stake]]*(TableBets[[#This Row],[Odds]]-1),AND(TableBets[[#This Row],[Win]]="Lost",TableBets[[#This Row],[BB]]&lt;&gt;"Y"),-TableBets[[#This Row],[Stake]],TableBets[[#This Row],[Win]]="Sold",-TableBets[[#This Row],[Stake]]+TableBets[[#This Row],[Sold for]],TRUE,0)</f>
        <v>-4</v>
      </c>
      <c r="N124" s="15"/>
      <c r="O124" s="5"/>
      <c r="R124" s="23">
        <f>TableBets[[#This Row],[Date]]</f>
        <v>44840</v>
      </c>
      <c r="S124" s="15">
        <f>TableBets[[#This Row],[Profit]]+$S123</f>
        <v>-20.32958</v>
      </c>
    </row>
    <row r="125" spans="1:19" x14ac:dyDescent="0.2">
      <c r="A125" s="19">
        <v>44840</v>
      </c>
      <c r="B125" s="7" t="s">
        <v>2</v>
      </c>
      <c r="C125" s="7" t="s">
        <v>196</v>
      </c>
      <c r="D125" s="7" t="s">
        <v>3</v>
      </c>
      <c r="E125" s="7" t="s">
        <v>6</v>
      </c>
      <c r="F125" s="7" t="s">
        <v>251</v>
      </c>
      <c r="G125" s="7" t="s">
        <v>32</v>
      </c>
      <c r="H125" s="7" t="s">
        <v>30</v>
      </c>
      <c r="I125" s="7" t="s">
        <v>31</v>
      </c>
      <c r="J125" s="8">
        <v>4</v>
      </c>
      <c r="K125" s="9">
        <v>1.48</v>
      </c>
      <c r="L125" s="7" t="s">
        <v>18</v>
      </c>
      <c r="M125" s="61">
        <f>_xlfn.IFS(TableBets[[#This Row],[Win]]="Won",TableBets[[#This Row],[Stake]]*(TableBets[[#This Row],[Odds]]-1),AND(TableBets[[#This Row],[Win]]="Lost",TableBets[[#This Row],[BB]]&lt;&gt;"Y"),-TableBets[[#This Row],[Stake]],TableBets[[#This Row],[Win]]="Sold",-TableBets[[#This Row],[Stake]]+TableBets[[#This Row],[Sold for]],TRUE,0)</f>
        <v>1.92</v>
      </c>
      <c r="N125" s="15"/>
      <c r="O125" s="5"/>
      <c r="R125" s="23">
        <f>TableBets[[#This Row],[Date]]</f>
        <v>44840</v>
      </c>
      <c r="S125" s="15">
        <f>TableBets[[#This Row],[Profit]]+$S124</f>
        <v>-18.409579999999998</v>
      </c>
    </row>
    <row r="126" spans="1:19" x14ac:dyDescent="0.2">
      <c r="A126" s="19">
        <v>44841</v>
      </c>
      <c r="B126" s="7" t="s">
        <v>2</v>
      </c>
      <c r="C126" s="7" t="s">
        <v>252</v>
      </c>
      <c r="D126" s="7" t="s">
        <v>3</v>
      </c>
      <c r="E126" s="7" t="s">
        <v>6</v>
      </c>
      <c r="F126" s="7" t="s">
        <v>253</v>
      </c>
      <c r="G126" s="7" t="s">
        <v>30</v>
      </c>
      <c r="H126" s="7" t="s">
        <v>30</v>
      </c>
      <c r="I126" s="7" t="s">
        <v>35</v>
      </c>
      <c r="J126" s="8">
        <v>6</v>
      </c>
      <c r="K126" s="9">
        <v>1.6579999999999999</v>
      </c>
      <c r="L126" s="7" t="s">
        <v>18</v>
      </c>
      <c r="M126" s="61">
        <f>_xlfn.IFS(TableBets[[#This Row],[Win]]="Won",TableBets[[#This Row],[Stake]]*(TableBets[[#This Row],[Odds]]-1),AND(TableBets[[#This Row],[Win]]="Lost",TableBets[[#This Row],[BB]]&lt;&gt;"Y"),-TableBets[[#This Row],[Stake]],TableBets[[#This Row],[Win]]="Sold",-TableBets[[#This Row],[Stake]]+TableBets[[#This Row],[Sold for]],TRUE,0)</f>
        <v>3.9479999999999995</v>
      </c>
      <c r="N126" s="15"/>
      <c r="O126" s="5"/>
      <c r="R126" s="23">
        <f>TableBets[[#This Row],[Date]]</f>
        <v>44841</v>
      </c>
      <c r="S126" s="15">
        <f>TableBets[[#This Row],[Profit]]+$S125</f>
        <v>-14.461579999999998</v>
      </c>
    </row>
    <row r="127" spans="1:19" x14ac:dyDescent="0.2">
      <c r="A127" s="19">
        <v>44841</v>
      </c>
      <c r="B127" s="7" t="s">
        <v>2</v>
      </c>
      <c r="C127" s="7" t="s">
        <v>68</v>
      </c>
      <c r="D127" s="7" t="s">
        <v>3</v>
      </c>
      <c r="E127" s="7" t="s">
        <v>6</v>
      </c>
      <c r="F127" s="7" t="s">
        <v>254</v>
      </c>
      <c r="G127" s="7" t="s">
        <v>30</v>
      </c>
      <c r="H127" s="7" t="s">
        <v>30</v>
      </c>
      <c r="I127" s="7" t="s">
        <v>35</v>
      </c>
      <c r="J127" s="8">
        <v>4</v>
      </c>
      <c r="K127" s="9">
        <v>2.17</v>
      </c>
      <c r="L127" s="7" t="s">
        <v>19</v>
      </c>
      <c r="M127" s="61">
        <f>_xlfn.IFS(TableBets[[#This Row],[Win]]="Won",TableBets[[#This Row],[Stake]]*(TableBets[[#This Row],[Odds]]-1),AND(TableBets[[#This Row],[Win]]="Lost",TableBets[[#This Row],[BB]]&lt;&gt;"Y"),-TableBets[[#This Row],[Stake]],TableBets[[#This Row],[Win]]="Sold",-TableBets[[#This Row],[Stake]]+TableBets[[#This Row],[Sold for]],TRUE,0)</f>
        <v>-4</v>
      </c>
      <c r="N127" s="15"/>
      <c r="O127" s="5"/>
      <c r="R127" s="23">
        <f>TableBets[[#This Row],[Date]]</f>
        <v>44841</v>
      </c>
      <c r="S127" s="15">
        <f>TableBets[[#This Row],[Profit]]+$S126</f>
        <v>-18.461579999999998</v>
      </c>
    </row>
    <row r="128" spans="1:19" x14ac:dyDescent="0.2">
      <c r="A128" s="19">
        <v>44841</v>
      </c>
      <c r="B128" s="7" t="s">
        <v>2</v>
      </c>
      <c r="C128" s="7" t="s">
        <v>241</v>
      </c>
      <c r="D128" s="7" t="s">
        <v>3</v>
      </c>
      <c r="E128" s="7" t="s">
        <v>6</v>
      </c>
      <c r="F128" s="7" t="s">
        <v>255</v>
      </c>
      <c r="G128" s="7" t="s">
        <v>30</v>
      </c>
      <c r="H128" s="7" t="s">
        <v>30</v>
      </c>
      <c r="I128" s="7" t="s">
        <v>38</v>
      </c>
      <c r="J128" s="8">
        <v>4</v>
      </c>
      <c r="K128" s="9">
        <v>2.2799999999999998</v>
      </c>
      <c r="L128" s="7" t="s">
        <v>18</v>
      </c>
      <c r="M128" s="61">
        <f>_xlfn.IFS(TableBets[[#This Row],[Win]]="Won",TableBets[[#This Row],[Stake]]*(TableBets[[#This Row],[Odds]]-1),AND(TableBets[[#This Row],[Win]]="Lost",TableBets[[#This Row],[BB]]&lt;&gt;"Y"),-TableBets[[#This Row],[Stake]],TableBets[[#This Row],[Win]]="Sold",-TableBets[[#This Row],[Stake]]+TableBets[[#This Row],[Sold for]],TRUE,0)</f>
        <v>5.1199999999999992</v>
      </c>
      <c r="N128" s="15"/>
      <c r="O128" s="5"/>
      <c r="R128" s="23">
        <f>TableBets[[#This Row],[Date]]</f>
        <v>44841</v>
      </c>
      <c r="S128" s="15">
        <f>TableBets[[#This Row],[Profit]]+$S127</f>
        <v>-13.341579999999999</v>
      </c>
    </row>
    <row r="129" spans="1:19" x14ac:dyDescent="0.2">
      <c r="A129" s="19">
        <v>44841</v>
      </c>
      <c r="B129" s="7" t="s">
        <v>2</v>
      </c>
      <c r="C129" s="7" t="s">
        <v>256</v>
      </c>
      <c r="D129" s="7" t="s">
        <v>3</v>
      </c>
      <c r="E129" s="7" t="s">
        <v>6</v>
      </c>
      <c r="F129" s="7" t="s">
        <v>257</v>
      </c>
      <c r="G129" s="7" t="s">
        <v>30</v>
      </c>
      <c r="H129" s="7" t="s">
        <v>30</v>
      </c>
      <c r="I129" s="7" t="s">
        <v>65</v>
      </c>
      <c r="J129" s="8">
        <v>4</v>
      </c>
      <c r="K129" s="9">
        <v>1.6479999999999999</v>
      </c>
      <c r="L129" s="7" t="s">
        <v>18</v>
      </c>
      <c r="M129" s="61">
        <f>_xlfn.IFS(TableBets[[#This Row],[Win]]="Won",TableBets[[#This Row],[Stake]]*(TableBets[[#This Row],[Odds]]-1),AND(TableBets[[#This Row],[Win]]="Lost",TableBets[[#This Row],[BB]]&lt;&gt;"Y"),-TableBets[[#This Row],[Stake]],TableBets[[#This Row],[Win]]="Sold",-TableBets[[#This Row],[Stake]]+TableBets[[#This Row],[Sold for]],TRUE,0)</f>
        <v>2.5919999999999996</v>
      </c>
      <c r="N129" s="15"/>
      <c r="O129" s="5"/>
      <c r="R129" s="23">
        <f>TableBets[[#This Row],[Date]]</f>
        <v>44841</v>
      </c>
      <c r="S129" s="15">
        <f>TableBets[[#This Row],[Profit]]+$S128</f>
        <v>-10.749579999999998</v>
      </c>
    </row>
    <row r="130" spans="1:19" x14ac:dyDescent="0.2">
      <c r="A130" s="19">
        <v>44841</v>
      </c>
      <c r="B130" s="7" t="s">
        <v>2</v>
      </c>
      <c r="C130" s="7" t="s">
        <v>258</v>
      </c>
      <c r="D130" s="7" t="s">
        <v>3</v>
      </c>
      <c r="E130" s="7" t="s">
        <v>6</v>
      </c>
      <c r="F130" s="7" t="s">
        <v>259</v>
      </c>
      <c r="G130" s="7" t="s">
        <v>30</v>
      </c>
      <c r="H130" s="7" t="s">
        <v>30</v>
      </c>
      <c r="I130" s="7" t="s">
        <v>35</v>
      </c>
      <c r="J130" s="8">
        <v>4</v>
      </c>
      <c r="K130" s="9">
        <v>2.12</v>
      </c>
      <c r="L130" s="7" t="s">
        <v>18</v>
      </c>
      <c r="M130" s="61">
        <f>_xlfn.IFS(TableBets[[#This Row],[Win]]="Won",TableBets[[#This Row],[Stake]]*(TableBets[[#This Row],[Odds]]-1),AND(TableBets[[#This Row],[Win]]="Lost",TableBets[[#This Row],[BB]]&lt;&gt;"Y"),-TableBets[[#This Row],[Stake]],TableBets[[#This Row],[Win]]="Sold",-TableBets[[#This Row],[Stake]]+TableBets[[#This Row],[Sold for]],TRUE,0)</f>
        <v>4.4800000000000004</v>
      </c>
      <c r="N130" s="15"/>
      <c r="O130" s="5"/>
      <c r="R130" s="23">
        <f>TableBets[[#This Row],[Date]]</f>
        <v>44841</v>
      </c>
      <c r="S130" s="15">
        <f>TableBets[[#This Row],[Profit]]+$S129</f>
        <v>-6.2695799999999977</v>
      </c>
    </row>
    <row r="131" spans="1:19" x14ac:dyDescent="0.2">
      <c r="A131" s="19">
        <v>44841</v>
      </c>
      <c r="B131" s="7" t="s">
        <v>2</v>
      </c>
      <c r="C131" s="7" t="s">
        <v>260</v>
      </c>
      <c r="D131" s="7" t="s">
        <v>3</v>
      </c>
      <c r="E131" s="7" t="s">
        <v>6</v>
      </c>
      <c r="F131" s="7" t="s">
        <v>261</v>
      </c>
      <c r="G131" s="7" t="s">
        <v>30</v>
      </c>
      <c r="H131" s="7" t="s">
        <v>30</v>
      </c>
      <c r="I131" s="7" t="s">
        <v>35</v>
      </c>
      <c r="J131" s="8">
        <v>4</v>
      </c>
      <c r="K131" s="9">
        <v>1.73</v>
      </c>
      <c r="L131" s="7" t="s">
        <v>18</v>
      </c>
      <c r="M131" s="61">
        <f>_xlfn.IFS(TableBets[[#This Row],[Win]]="Won",TableBets[[#This Row],[Stake]]*(TableBets[[#This Row],[Odds]]-1),AND(TableBets[[#This Row],[Win]]="Lost",TableBets[[#This Row],[BB]]&lt;&gt;"Y"),-TableBets[[#This Row],[Stake]],TableBets[[#This Row],[Win]]="Sold",-TableBets[[#This Row],[Stake]]+TableBets[[#This Row],[Sold for]],TRUE,0)</f>
        <v>2.92</v>
      </c>
      <c r="N131" s="15"/>
      <c r="O131" s="5"/>
      <c r="R131" s="23">
        <f>TableBets[[#This Row],[Date]]</f>
        <v>44841</v>
      </c>
      <c r="S131" s="15">
        <f>TableBets[[#This Row],[Profit]]+$S130</f>
        <v>-3.3495799999999978</v>
      </c>
    </row>
    <row r="132" spans="1:19" x14ac:dyDescent="0.2">
      <c r="A132" s="19">
        <v>44841</v>
      </c>
      <c r="B132" s="7" t="s">
        <v>2</v>
      </c>
      <c r="C132" s="7" t="s">
        <v>262</v>
      </c>
      <c r="D132" s="7" t="s">
        <v>3</v>
      </c>
      <c r="E132" s="7" t="s">
        <v>6</v>
      </c>
      <c r="F132" s="7" t="s">
        <v>263</v>
      </c>
      <c r="G132" s="7" t="s">
        <v>30</v>
      </c>
      <c r="H132" s="7" t="s">
        <v>30</v>
      </c>
      <c r="I132" s="7" t="s">
        <v>48</v>
      </c>
      <c r="J132" s="8">
        <v>4</v>
      </c>
      <c r="K132" s="9">
        <v>1.464</v>
      </c>
      <c r="L132" s="7" t="s">
        <v>19</v>
      </c>
      <c r="M132" s="61">
        <f>_xlfn.IFS(TableBets[[#This Row],[Win]]="Won",TableBets[[#This Row],[Stake]]*(TableBets[[#This Row],[Odds]]-1),AND(TableBets[[#This Row],[Win]]="Lost",TableBets[[#This Row],[BB]]&lt;&gt;"Y"),-TableBets[[#This Row],[Stake]],TableBets[[#This Row],[Win]]="Sold",-TableBets[[#This Row],[Stake]]+TableBets[[#This Row],[Sold for]],TRUE,0)</f>
        <v>-4</v>
      </c>
      <c r="N132" s="15"/>
      <c r="O132" s="5"/>
      <c r="R132" s="23">
        <f>TableBets[[#This Row],[Date]]</f>
        <v>44841</v>
      </c>
      <c r="S132" s="15">
        <f>TableBets[[#This Row],[Profit]]+$S131</f>
        <v>-7.3495799999999978</v>
      </c>
    </row>
    <row r="133" spans="1:19" x14ac:dyDescent="0.2">
      <c r="A133" s="19">
        <v>44841</v>
      </c>
      <c r="B133" s="7" t="s">
        <v>2</v>
      </c>
      <c r="C133" s="7" t="s">
        <v>225</v>
      </c>
      <c r="D133" s="7" t="s">
        <v>3</v>
      </c>
      <c r="E133" s="7" t="s">
        <v>6</v>
      </c>
      <c r="F133" s="7" t="s">
        <v>264</v>
      </c>
      <c r="G133" s="7" t="s">
        <v>32</v>
      </c>
      <c r="H133" s="7" t="s">
        <v>30</v>
      </c>
      <c r="I133" s="7" t="s">
        <v>65</v>
      </c>
      <c r="J133" s="8">
        <v>4</v>
      </c>
      <c r="K133" s="9">
        <v>1.6</v>
      </c>
      <c r="L133" s="7" t="s">
        <v>19</v>
      </c>
      <c r="M133" s="61">
        <f>_xlfn.IFS(TableBets[[#This Row],[Win]]="Won",TableBets[[#This Row],[Stake]]*(TableBets[[#This Row],[Odds]]-1),AND(TableBets[[#This Row],[Win]]="Lost",TableBets[[#This Row],[BB]]&lt;&gt;"Y"),-TableBets[[#This Row],[Stake]],TableBets[[#This Row],[Win]]="Sold",-TableBets[[#This Row],[Stake]]+TableBets[[#This Row],[Sold for]],TRUE,0)</f>
        <v>-4</v>
      </c>
      <c r="N133" s="15"/>
      <c r="O133" s="5"/>
      <c r="R133" s="23">
        <f>TableBets[[#This Row],[Date]]</f>
        <v>44841</v>
      </c>
      <c r="S133" s="15">
        <f>TableBets[[#This Row],[Profit]]+$S132</f>
        <v>-11.349579999999998</v>
      </c>
    </row>
    <row r="134" spans="1:19" x14ac:dyDescent="0.2">
      <c r="A134" s="19">
        <v>44841</v>
      </c>
      <c r="B134" s="7" t="s">
        <v>2</v>
      </c>
      <c r="C134" s="7" t="s">
        <v>265</v>
      </c>
      <c r="D134" s="7" t="s">
        <v>3</v>
      </c>
      <c r="E134" s="7" t="s">
        <v>6</v>
      </c>
      <c r="F134" s="7" t="s">
        <v>266</v>
      </c>
      <c r="G134" s="7" t="s">
        <v>32</v>
      </c>
      <c r="H134" s="7" t="s">
        <v>30</v>
      </c>
      <c r="I134" s="7" t="s">
        <v>77</v>
      </c>
      <c r="J134" s="8">
        <v>4</v>
      </c>
      <c r="K134" s="9">
        <v>2.2200000000000002</v>
      </c>
      <c r="L134" s="7" t="s">
        <v>19</v>
      </c>
      <c r="M134" s="61">
        <f>_xlfn.IFS(TableBets[[#This Row],[Win]]="Won",TableBets[[#This Row],[Stake]]*(TableBets[[#This Row],[Odds]]-1),AND(TableBets[[#This Row],[Win]]="Lost",TableBets[[#This Row],[BB]]&lt;&gt;"Y"),-TableBets[[#This Row],[Stake]],TableBets[[#This Row],[Win]]="Sold",-TableBets[[#This Row],[Stake]]+TableBets[[#This Row],[Sold for]],TRUE,0)</f>
        <v>-4</v>
      </c>
      <c r="N134" s="15"/>
      <c r="O134" s="5"/>
      <c r="R134" s="23">
        <f>TableBets[[#This Row],[Date]]</f>
        <v>44841</v>
      </c>
      <c r="S134" s="15">
        <f>TableBets[[#This Row],[Profit]]+$S133</f>
        <v>-15.349579999999998</v>
      </c>
    </row>
    <row r="135" spans="1:19" x14ac:dyDescent="0.2">
      <c r="A135" s="19">
        <v>44842</v>
      </c>
      <c r="B135" s="7" t="s">
        <v>2</v>
      </c>
      <c r="C135" s="7" t="s">
        <v>267</v>
      </c>
      <c r="D135" s="7" t="s">
        <v>3</v>
      </c>
      <c r="E135" s="7" t="s">
        <v>6</v>
      </c>
      <c r="F135" s="7" t="s">
        <v>268</v>
      </c>
      <c r="G135" s="7" t="s">
        <v>30</v>
      </c>
      <c r="H135" s="7" t="s">
        <v>30</v>
      </c>
      <c r="I135" s="7" t="s">
        <v>35</v>
      </c>
      <c r="J135" s="8">
        <v>4</v>
      </c>
      <c r="K135" s="9">
        <v>2.2959999999999998</v>
      </c>
      <c r="L135" s="7" t="s">
        <v>19</v>
      </c>
      <c r="M135" s="61">
        <f>_xlfn.IFS(TableBets[[#This Row],[Win]]="Won",TableBets[[#This Row],[Stake]]*(TableBets[[#This Row],[Odds]]-1),AND(TableBets[[#This Row],[Win]]="Lost",TableBets[[#This Row],[BB]]&lt;&gt;"Y"),-TableBets[[#This Row],[Stake]],TableBets[[#This Row],[Win]]="Sold",-TableBets[[#This Row],[Stake]]+TableBets[[#This Row],[Sold for]],TRUE,0)</f>
        <v>-4</v>
      </c>
      <c r="N135" s="15"/>
      <c r="O135" s="5"/>
      <c r="R135" s="23">
        <f>TableBets[[#This Row],[Date]]</f>
        <v>44842</v>
      </c>
      <c r="S135" s="15">
        <f>TableBets[[#This Row],[Profit]]+$S134</f>
        <v>-19.349579999999996</v>
      </c>
    </row>
    <row r="136" spans="1:19" x14ac:dyDescent="0.2">
      <c r="A136" s="19">
        <v>44842</v>
      </c>
      <c r="B136" s="7" t="s">
        <v>2</v>
      </c>
      <c r="C136" s="7" t="s">
        <v>269</v>
      </c>
      <c r="D136" s="7" t="s">
        <v>11</v>
      </c>
      <c r="E136" s="7" t="s">
        <v>6</v>
      </c>
      <c r="F136" s="7" t="s">
        <v>268</v>
      </c>
      <c r="G136" s="7" t="s">
        <v>30</v>
      </c>
      <c r="H136" s="7" t="s">
        <v>30</v>
      </c>
      <c r="I136" s="7" t="s">
        <v>35</v>
      </c>
      <c r="J136" s="8">
        <v>6</v>
      </c>
      <c r="K136" s="9">
        <v>1.41</v>
      </c>
      <c r="L136" s="7" t="s">
        <v>19</v>
      </c>
      <c r="M136" s="61">
        <f>_xlfn.IFS(TableBets[[#This Row],[Win]]="Won",TableBets[[#This Row],[Stake]]*(TableBets[[#This Row],[Odds]]-1),AND(TableBets[[#This Row],[Win]]="Lost",TableBets[[#This Row],[BB]]&lt;&gt;"Y"),-TableBets[[#This Row],[Stake]],TableBets[[#This Row],[Win]]="Sold",-TableBets[[#This Row],[Stake]]+TableBets[[#This Row],[Sold for]],TRUE,0)</f>
        <v>-6</v>
      </c>
      <c r="N136" s="15"/>
      <c r="O136" s="5"/>
      <c r="R136" s="23">
        <f>TableBets[[#This Row],[Date]]</f>
        <v>44842</v>
      </c>
      <c r="S136" s="15">
        <f>TableBets[[#This Row],[Profit]]+$S135</f>
        <v>-25.349579999999996</v>
      </c>
    </row>
    <row r="137" spans="1:19" x14ac:dyDescent="0.2">
      <c r="A137" s="19">
        <v>44842</v>
      </c>
      <c r="B137" s="7" t="s">
        <v>2</v>
      </c>
      <c r="C137" s="7" t="s">
        <v>270</v>
      </c>
      <c r="D137" s="7" t="s">
        <v>3</v>
      </c>
      <c r="E137" s="7" t="s">
        <v>6</v>
      </c>
      <c r="F137" s="7" t="s">
        <v>271</v>
      </c>
      <c r="G137" s="7" t="s">
        <v>30</v>
      </c>
      <c r="H137" s="7" t="s">
        <v>30</v>
      </c>
      <c r="I137" s="7" t="s">
        <v>38</v>
      </c>
      <c r="J137" s="8">
        <v>6</v>
      </c>
      <c r="K137" s="9">
        <v>1.5049999999999999</v>
      </c>
      <c r="L137" s="7" t="s">
        <v>18</v>
      </c>
      <c r="M137" s="61">
        <f>_xlfn.IFS(TableBets[[#This Row],[Win]]="Won",TableBets[[#This Row],[Stake]]*(TableBets[[#This Row],[Odds]]-1),AND(TableBets[[#This Row],[Win]]="Lost",TableBets[[#This Row],[BB]]&lt;&gt;"Y"),-TableBets[[#This Row],[Stake]],TableBets[[#This Row],[Win]]="Sold",-TableBets[[#This Row],[Stake]]+TableBets[[#This Row],[Sold for]],TRUE,0)</f>
        <v>3.0299999999999994</v>
      </c>
      <c r="N137" s="15"/>
      <c r="O137" s="5"/>
      <c r="R137" s="23">
        <f>TableBets[[#This Row],[Date]]</f>
        <v>44842</v>
      </c>
      <c r="S137" s="15">
        <f>TableBets[[#This Row],[Profit]]+$S136</f>
        <v>-22.319579999999995</v>
      </c>
    </row>
    <row r="138" spans="1:19" x14ac:dyDescent="0.2">
      <c r="A138" s="19">
        <v>44842</v>
      </c>
      <c r="B138" s="7" t="s">
        <v>2</v>
      </c>
      <c r="C138" s="7" t="s">
        <v>272</v>
      </c>
      <c r="D138" s="7" t="s">
        <v>11</v>
      </c>
      <c r="E138" s="7" t="s">
        <v>6</v>
      </c>
      <c r="F138" s="7" t="s">
        <v>273</v>
      </c>
      <c r="G138" s="7" t="s">
        <v>30</v>
      </c>
      <c r="H138" s="7" t="s">
        <v>30</v>
      </c>
      <c r="I138" s="7" t="s">
        <v>48</v>
      </c>
      <c r="J138" s="8">
        <v>4</v>
      </c>
      <c r="K138" s="9">
        <v>1.58</v>
      </c>
      <c r="L138" s="7" t="s">
        <v>18</v>
      </c>
      <c r="M138" s="61">
        <f>_xlfn.IFS(TableBets[[#This Row],[Win]]="Won",TableBets[[#This Row],[Stake]]*(TableBets[[#This Row],[Odds]]-1),AND(TableBets[[#This Row],[Win]]="Lost",TableBets[[#This Row],[BB]]&lt;&gt;"Y"),-TableBets[[#This Row],[Stake]],TableBets[[#This Row],[Win]]="Sold",-TableBets[[#This Row],[Stake]]+TableBets[[#This Row],[Sold for]],TRUE,0)</f>
        <v>2.3200000000000003</v>
      </c>
      <c r="N138" s="15"/>
      <c r="O138" s="5"/>
      <c r="R138" s="23">
        <f>TableBets[[#This Row],[Date]]</f>
        <v>44842</v>
      </c>
      <c r="S138" s="15">
        <f>TableBets[[#This Row],[Profit]]+$S137</f>
        <v>-19.999579999999995</v>
      </c>
    </row>
    <row r="139" spans="1:19" x14ac:dyDescent="0.2">
      <c r="A139" s="19">
        <v>44842</v>
      </c>
      <c r="B139" s="7" t="s">
        <v>2</v>
      </c>
      <c r="C139" s="7" t="s">
        <v>270</v>
      </c>
      <c r="D139" s="7" t="s">
        <v>3</v>
      </c>
      <c r="E139" s="7" t="s">
        <v>6</v>
      </c>
      <c r="F139" s="7" t="s">
        <v>274</v>
      </c>
      <c r="G139" s="7" t="s">
        <v>32</v>
      </c>
      <c r="H139" s="7" t="s">
        <v>30</v>
      </c>
      <c r="I139" s="7" t="s">
        <v>180</v>
      </c>
      <c r="J139" s="8">
        <v>4</v>
      </c>
      <c r="K139" s="9">
        <v>1.69</v>
      </c>
      <c r="L139" s="7" t="s">
        <v>18</v>
      </c>
      <c r="M139" s="61">
        <f>_xlfn.IFS(TableBets[[#This Row],[Win]]="Won",TableBets[[#This Row],[Stake]]*(TableBets[[#This Row],[Odds]]-1),AND(TableBets[[#This Row],[Win]]="Lost",TableBets[[#This Row],[BB]]&lt;&gt;"Y"),-TableBets[[#This Row],[Stake]],TableBets[[#This Row],[Win]]="Sold",-TableBets[[#This Row],[Stake]]+TableBets[[#This Row],[Sold for]],TRUE,0)</f>
        <v>2.76</v>
      </c>
      <c r="N139" s="15"/>
      <c r="O139" s="5"/>
      <c r="R139" s="23">
        <f>TableBets[[#This Row],[Date]]</f>
        <v>44842</v>
      </c>
      <c r="S139" s="15">
        <f>TableBets[[#This Row],[Profit]]+$S138</f>
        <v>-17.239579999999997</v>
      </c>
    </row>
    <row r="140" spans="1:19" x14ac:dyDescent="0.2">
      <c r="A140" s="19">
        <v>44842</v>
      </c>
      <c r="B140" s="7" t="s">
        <v>2</v>
      </c>
      <c r="C140" s="7" t="s">
        <v>229</v>
      </c>
      <c r="D140" s="7" t="s">
        <v>3</v>
      </c>
      <c r="E140" s="7" t="s">
        <v>6</v>
      </c>
      <c r="F140" s="7" t="s">
        <v>273</v>
      </c>
      <c r="G140" s="7" t="s">
        <v>32</v>
      </c>
      <c r="H140" s="7" t="s">
        <v>30</v>
      </c>
      <c r="I140" s="7" t="s">
        <v>48</v>
      </c>
      <c r="J140" s="8">
        <v>4</v>
      </c>
      <c r="K140" s="9">
        <v>1.49</v>
      </c>
      <c r="L140" s="7" t="s">
        <v>18</v>
      </c>
      <c r="M140" s="61">
        <f>_xlfn.IFS(TableBets[[#This Row],[Win]]="Won",TableBets[[#This Row],[Stake]]*(TableBets[[#This Row],[Odds]]-1),AND(TableBets[[#This Row],[Win]]="Lost",TableBets[[#This Row],[BB]]&lt;&gt;"Y"),-TableBets[[#This Row],[Stake]],TableBets[[#This Row],[Win]]="Sold",-TableBets[[#This Row],[Stake]]+TableBets[[#This Row],[Sold for]],TRUE,0)</f>
        <v>1.96</v>
      </c>
      <c r="N140" s="15"/>
      <c r="O140" s="5"/>
      <c r="R140" s="23">
        <f>TableBets[[#This Row],[Date]]</f>
        <v>44842</v>
      </c>
      <c r="S140" s="15">
        <f>TableBets[[#This Row],[Profit]]+$S139</f>
        <v>-15.279579999999996</v>
      </c>
    </row>
    <row r="141" spans="1:19" x14ac:dyDescent="0.2">
      <c r="A141" s="19">
        <v>44843</v>
      </c>
      <c r="B141" s="7" t="s">
        <v>2</v>
      </c>
      <c r="C141" s="7" t="s">
        <v>275</v>
      </c>
      <c r="D141" s="7" t="s">
        <v>11</v>
      </c>
      <c r="E141" s="7" t="s">
        <v>6</v>
      </c>
      <c r="F141" s="7" t="s">
        <v>276</v>
      </c>
      <c r="G141" s="7" t="s">
        <v>30</v>
      </c>
      <c r="H141" s="7" t="s">
        <v>30</v>
      </c>
      <c r="I141" s="7" t="s">
        <v>38</v>
      </c>
      <c r="J141" s="8">
        <v>4</v>
      </c>
      <c r="K141" s="9">
        <v>1.49</v>
      </c>
      <c r="L141" s="7" t="s">
        <v>19</v>
      </c>
      <c r="M141" s="61">
        <f>_xlfn.IFS(TableBets[[#This Row],[Win]]="Won",TableBets[[#This Row],[Stake]]*(TableBets[[#This Row],[Odds]]-1),AND(TableBets[[#This Row],[Win]]="Lost",TableBets[[#This Row],[BB]]&lt;&gt;"Y"),-TableBets[[#This Row],[Stake]],TableBets[[#This Row],[Win]]="Sold",-TableBets[[#This Row],[Stake]]+TableBets[[#This Row],[Sold for]],TRUE,0)</f>
        <v>-4</v>
      </c>
      <c r="N141" s="15"/>
      <c r="O141" s="5"/>
      <c r="R141" s="23">
        <f>TableBets[[#This Row],[Date]]</f>
        <v>44843</v>
      </c>
      <c r="S141" s="15">
        <f>TableBets[[#This Row],[Profit]]+$S140</f>
        <v>-19.279579999999996</v>
      </c>
    </row>
    <row r="142" spans="1:19" x14ac:dyDescent="0.2">
      <c r="A142" s="19">
        <v>44843</v>
      </c>
      <c r="B142" s="7" t="s">
        <v>7</v>
      </c>
      <c r="C142" s="7" t="s">
        <v>277</v>
      </c>
      <c r="D142" s="7" t="s">
        <v>8</v>
      </c>
      <c r="E142" s="7" t="s">
        <v>9</v>
      </c>
      <c r="F142" s="7" t="s">
        <v>278</v>
      </c>
      <c r="G142" s="7" t="s">
        <v>30</v>
      </c>
      <c r="H142" s="7" t="s">
        <v>30</v>
      </c>
      <c r="I142" s="7" t="s">
        <v>279</v>
      </c>
      <c r="J142" s="8">
        <v>4</v>
      </c>
      <c r="K142" s="9">
        <v>1.8</v>
      </c>
      <c r="L142" s="7" t="s">
        <v>19</v>
      </c>
      <c r="M142" s="61">
        <f>_xlfn.IFS(TableBets[[#This Row],[Win]]="Won",TableBets[[#This Row],[Stake]]*(TableBets[[#This Row],[Odds]]-1),AND(TableBets[[#This Row],[Win]]="Lost",TableBets[[#This Row],[BB]]&lt;&gt;"Y"),-TableBets[[#This Row],[Stake]],TableBets[[#This Row],[Win]]="Sold",-TableBets[[#This Row],[Stake]]+TableBets[[#This Row],[Sold for]],TRUE,0)</f>
        <v>-4</v>
      </c>
      <c r="N142" s="15"/>
      <c r="O142" s="5"/>
      <c r="R142" s="23">
        <f>TableBets[[#This Row],[Date]]</f>
        <v>44843</v>
      </c>
      <c r="S142" s="15">
        <f>TableBets[[#This Row],[Profit]]+$S141</f>
        <v>-23.279579999999996</v>
      </c>
    </row>
    <row r="143" spans="1:19" x14ac:dyDescent="0.2">
      <c r="A143" s="19">
        <v>44843</v>
      </c>
      <c r="B143" s="7" t="s">
        <v>2</v>
      </c>
      <c r="C143" s="7" t="s">
        <v>265</v>
      </c>
      <c r="D143" s="7" t="s">
        <v>3</v>
      </c>
      <c r="E143" s="7" t="s">
        <v>6</v>
      </c>
      <c r="F143" s="7" t="s">
        <v>280</v>
      </c>
      <c r="G143" s="7" t="s">
        <v>32</v>
      </c>
      <c r="H143" s="7" t="s">
        <v>30</v>
      </c>
      <c r="I143" s="7" t="s">
        <v>77</v>
      </c>
      <c r="J143" s="8">
        <v>6</v>
      </c>
      <c r="K143" s="9">
        <v>1.39</v>
      </c>
      <c r="L143" s="7" t="s">
        <v>18</v>
      </c>
      <c r="M143" s="61">
        <f>_xlfn.IFS(TableBets[[#This Row],[Win]]="Won",TableBets[[#This Row],[Stake]]*(TableBets[[#This Row],[Odds]]-1),AND(TableBets[[#This Row],[Win]]="Lost",TableBets[[#This Row],[BB]]&lt;&gt;"Y"),-TableBets[[#This Row],[Stake]],TableBets[[#This Row],[Win]]="Sold",-TableBets[[#This Row],[Stake]]+TableBets[[#This Row],[Sold for]],TRUE,0)</f>
        <v>2.3399999999999994</v>
      </c>
      <c r="N143" s="15"/>
      <c r="O143" s="5"/>
      <c r="R143" s="23">
        <f>TableBets[[#This Row],[Date]]</f>
        <v>44843</v>
      </c>
      <c r="S143" s="15">
        <f>TableBets[[#This Row],[Profit]]+$S142</f>
        <v>-20.939579999999996</v>
      </c>
    </row>
    <row r="144" spans="1:19" x14ac:dyDescent="0.2">
      <c r="A144" s="19">
        <v>44843</v>
      </c>
      <c r="B144" s="7" t="s">
        <v>2</v>
      </c>
      <c r="C144" s="7" t="s">
        <v>196</v>
      </c>
      <c r="D144" s="7" t="s">
        <v>3</v>
      </c>
      <c r="E144" s="7" t="s">
        <v>6</v>
      </c>
      <c r="F144" s="7" t="s">
        <v>281</v>
      </c>
      <c r="G144" s="7" t="s">
        <v>32</v>
      </c>
      <c r="H144" s="7" t="s">
        <v>30</v>
      </c>
      <c r="I144" s="7" t="s">
        <v>186</v>
      </c>
      <c r="J144" s="8">
        <v>6</v>
      </c>
      <c r="K144" s="9">
        <v>1.84</v>
      </c>
      <c r="L144" s="7" t="s">
        <v>19</v>
      </c>
      <c r="M144" s="61">
        <f>_xlfn.IFS(TableBets[[#This Row],[Win]]="Won",TableBets[[#This Row],[Stake]]*(TableBets[[#This Row],[Odds]]-1),AND(TableBets[[#This Row],[Win]]="Lost",TableBets[[#This Row],[BB]]&lt;&gt;"Y"),-TableBets[[#This Row],[Stake]],TableBets[[#This Row],[Win]]="Sold",-TableBets[[#This Row],[Stake]]+TableBets[[#This Row],[Sold for]],TRUE,0)</f>
        <v>-6</v>
      </c>
      <c r="N144" s="15"/>
      <c r="O144" s="5"/>
      <c r="R144" s="23">
        <f>TableBets[[#This Row],[Date]]</f>
        <v>44843</v>
      </c>
      <c r="S144" s="15">
        <f>TableBets[[#This Row],[Profit]]+$S143</f>
        <v>-26.939579999999996</v>
      </c>
    </row>
    <row r="145" spans="1:19" x14ac:dyDescent="0.2">
      <c r="A145" s="19">
        <v>44843</v>
      </c>
      <c r="B145" s="7" t="s">
        <v>2</v>
      </c>
      <c r="C145" s="7" t="s">
        <v>282</v>
      </c>
      <c r="D145" s="7" t="s">
        <v>3</v>
      </c>
      <c r="E145" s="7" t="s">
        <v>6</v>
      </c>
      <c r="F145" s="7" t="s">
        <v>283</v>
      </c>
      <c r="G145" s="7" t="s">
        <v>32</v>
      </c>
      <c r="H145" s="7" t="s">
        <v>30</v>
      </c>
      <c r="I145" s="7" t="s">
        <v>152</v>
      </c>
      <c r="J145" s="8">
        <v>6</v>
      </c>
      <c r="K145" s="9">
        <v>2.0699999999999998</v>
      </c>
      <c r="L145" s="7" t="s">
        <v>19</v>
      </c>
      <c r="M145" s="61">
        <f>_xlfn.IFS(TableBets[[#This Row],[Win]]="Won",TableBets[[#This Row],[Stake]]*(TableBets[[#This Row],[Odds]]-1),AND(TableBets[[#This Row],[Win]]="Lost",TableBets[[#This Row],[BB]]&lt;&gt;"Y"),-TableBets[[#This Row],[Stake]],TableBets[[#This Row],[Win]]="Sold",-TableBets[[#This Row],[Stake]]+TableBets[[#This Row],[Sold for]],TRUE,0)</f>
        <v>-6</v>
      </c>
      <c r="N145" s="15"/>
      <c r="O145" s="5"/>
      <c r="R145" s="23">
        <f>TableBets[[#This Row],[Date]]</f>
        <v>44843</v>
      </c>
      <c r="S145" s="15">
        <f>TableBets[[#This Row],[Profit]]+$S144</f>
        <v>-32.939579999999992</v>
      </c>
    </row>
    <row r="146" spans="1:19" x14ac:dyDescent="0.2">
      <c r="A146" s="19">
        <v>44843</v>
      </c>
      <c r="B146" s="7" t="s">
        <v>2</v>
      </c>
      <c r="C146" s="7" t="s">
        <v>162</v>
      </c>
      <c r="D146" s="7" t="s">
        <v>3</v>
      </c>
      <c r="E146" s="7" t="s">
        <v>6</v>
      </c>
      <c r="F146" s="7" t="s">
        <v>284</v>
      </c>
      <c r="G146" s="7" t="s">
        <v>32</v>
      </c>
      <c r="H146" s="7" t="s">
        <v>30</v>
      </c>
      <c r="I146" s="7" t="s">
        <v>62</v>
      </c>
      <c r="J146" s="8">
        <v>8</v>
      </c>
      <c r="K146" s="9">
        <v>1.93</v>
      </c>
      <c r="L146" s="7" t="s">
        <v>19</v>
      </c>
      <c r="M146" s="61">
        <f>_xlfn.IFS(TableBets[[#This Row],[Win]]="Won",TableBets[[#This Row],[Stake]]*(TableBets[[#This Row],[Odds]]-1),AND(TableBets[[#This Row],[Win]]="Lost",TableBets[[#This Row],[BB]]&lt;&gt;"Y"),-TableBets[[#This Row],[Stake]],TableBets[[#This Row],[Win]]="Sold",-TableBets[[#This Row],[Stake]]+TableBets[[#This Row],[Sold for]],TRUE,0)</f>
        <v>-8</v>
      </c>
      <c r="N146" s="15"/>
      <c r="O146" s="5"/>
      <c r="R146" s="23">
        <f>TableBets[[#This Row],[Date]]</f>
        <v>44843</v>
      </c>
      <c r="S146" s="15">
        <f>TableBets[[#This Row],[Profit]]+$S145</f>
        <v>-40.939579999999992</v>
      </c>
    </row>
    <row r="147" spans="1:19" x14ac:dyDescent="0.2">
      <c r="A147" s="19">
        <v>44843</v>
      </c>
      <c r="B147" s="7" t="s">
        <v>2</v>
      </c>
      <c r="C147" s="7" t="s">
        <v>196</v>
      </c>
      <c r="D147" s="7" t="s">
        <v>3</v>
      </c>
      <c r="E147" s="7" t="s">
        <v>6</v>
      </c>
      <c r="F147" s="7" t="s">
        <v>285</v>
      </c>
      <c r="G147" s="7" t="s">
        <v>32</v>
      </c>
      <c r="H147" s="7" t="s">
        <v>30</v>
      </c>
      <c r="I147" s="7" t="s">
        <v>65</v>
      </c>
      <c r="J147" s="8">
        <v>9.07</v>
      </c>
      <c r="K147" s="9">
        <v>1.47</v>
      </c>
      <c r="L147" s="7" t="s">
        <v>19</v>
      </c>
      <c r="M147" s="61">
        <f>_xlfn.IFS(TableBets[[#This Row],[Win]]="Won",TableBets[[#This Row],[Stake]]*(TableBets[[#This Row],[Odds]]-1),AND(TableBets[[#This Row],[Win]]="Lost",TableBets[[#This Row],[BB]]&lt;&gt;"Y"),-TableBets[[#This Row],[Stake]],TableBets[[#This Row],[Win]]="Sold",-TableBets[[#This Row],[Stake]]+TableBets[[#This Row],[Sold for]],TRUE,0)</f>
        <v>-9.07</v>
      </c>
      <c r="N147" s="15"/>
      <c r="O147" s="5"/>
      <c r="R147" s="23">
        <f>TableBets[[#This Row],[Date]]</f>
        <v>44843</v>
      </c>
      <c r="S147" s="15">
        <f>TableBets[[#This Row],[Profit]]+$S146</f>
        <v>-50.009579999999993</v>
      </c>
    </row>
    <row r="148" spans="1:19" x14ac:dyDescent="0.2">
      <c r="A148" s="19">
        <v>44843</v>
      </c>
      <c r="B148" s="7" t="s">
        <v>2</v>
      </c>
      <c r="C148" s="7" t="s">
        <v>270</v>
      </c>
      <c r="D148" s="7" t="s">
        <v>3</v>
      </c>
      <c r="E148" s="7" t="s">
        <v>6</v>
      </c>
      <c r="F148" s="7" t="s">
        <v>286</v>
      </c>
      <c r="G148" s="7" t="s">
        <v>32</v>
      </c>
      <c r="H148" s="7" t="s">
        <v>30</v>
      </c>
      <c r="I148" s="7" t="s">
        <v>48</v>
      </c>
      <c r="J148" s="8">
        <v>4</v>
      </c>
      <c r="K148" s="9">
        <v>1.39</v>
      </c>
      <c r="L148" s="7" t="s">
        <v>18</v>
      </c>
      <c r="M148" s="61">
        <f>_xlfn.IFS(TableBets[[#This Row],[Win]]="Won",TableBets[[#This Row],[Stake]]*(TableBets[[#This Row],[Odds]]-1),AND(TableBets[[#This Row],[Win]]="Lost",TableBets[[#This Row],[BB]]&lt;&gt;"Y"),-TableBets[[#This Row],[Stake]],TableBets[[#This Row],[Win]]="Sold",-TableBets[[#This Row],[Stake]]+TableBets[[#This Row],[Sold for]],TRUE,0)</f>
        <v>1.5599999999999996</v>
      </c>
      <c r="N148" s="15"/>
      <c r="O148" s="5"/>
      <c r="R148" s="23">
        <f>TableBets[[#This Row],[Date]]</f>
        <v>44843</v>
      </c>
      <c r="S148" s="15">
        <f>TableBets[[#This Row],[Profit]]+$S147</f>
        <v>-48.44957999999999</v>
      </c>
    </row>
    <row r="149" spans="1:19" x14ac:dyDescent="0.2">
      <c r="A149" s="19">
        <v>44843</v>
      </c>
      <c r="B149" s="7" t="s">
        <v>2</v>
      </c>
      <c r="C149" s="7" t="s">
        <v>262</v>
      </c>
      <c r="D149" s="7" t="s">
        <v>3</v>
      </c>
      <c r="E149" s="7" t="s">
        <v>6</v>
      </c>
      <c r="F149" s="7" t="s">
        <v>287</v>
      </c>
      <c r="G149" s="7" t="s">
        <v>32</v>
      </c>
      <c r="H149" s="7" t="s">
        <v>30</v>
      </c>
      <c r="I149" s="7" t="s">
        <v>31</v>
      </c>
      <c r="J149" s="8">
        <v>4</v>
      </c>
      <c r="K149" s="9">
        <v>1.61</v>
      </c>
      <c r="L149" s="7" t="s">
        <v>18</v>
      </c>
      <c r="M149" s="61">
        <f>_xlfn.IFS(TableBets[[#This Row],[Win]]="Won",TableBets[[#This Row],[Stake]]*(TableBets[[#This Row],[Odds]]-1),AND(TableBets[[#This Row],[Win]]="Lost",TableBets[[#This Row],[BB]]&lt;&gt;"Y"),-TableBets[[#This Row],[Stake]],TableBets[[#This Row],[Win]]="Sold",-TableBets[[#This Row],[Stake]]+TableBets[[#This Row],[Sold for]],TRUE,0)</f>
        <v>2.4400000000000004</v>
      </c>
      <c r="N149" s="15"/>
      <c r="O149" s="5"/>
      <c r="R149" s="23">
        <f>TableBets[[#This Row],[Date]]</f>
        <v>44843</v>
      </c>
      <c r="S149" s="15">
        <f>TableBets[[#This Row],[Profit]]+$S148</f>
        <v>-46.009579999999993</v>
      </c>
    </row>
    <row r="150" spans="1:19" x14ac:dyDescent="0.2">
      <c r="A150" s="19">
        <v>44844</v>
      </c>
      <c r="B150" s="7" t="s">
        <v>2</v>
      </c>
      <c r="C150" s="7" t="s">
        <v>288</v>
      </c>
      <c r="D150" s="7" t="s">
        <v>3</v>
      </c>
      <c r="E150" s="7" t="s">
        <v>6</v>
      </c>
      <c r="F150" s="7" t="s">
        <v>289</v>
      </c>
      <c r="G150" s="7" t="s">
        <v>30</v>
      </c>
      <c r="H150" s="7" t="s">
        <v>30</v>
      </c>
      <c r="I150" s="7" t="s">
        <v>290</v>
      </c>
      <c r="J150" s="8">
        <v>4</v>
      </c>
      <c r="K150" s="9">
        <v>1.712</v>
      </c>
      <c r="L150" s="7" t="s">
        <v>20</v>
      </c>
      <c r="M150" s="61">
        <f>_xlfn.IFS(TableBets[[#This Row],[Win]]="Won",TableBets[[#This Row],[Stake]]*(TableBets[[#This Row],[Odds]]-1),AND(TableBets[[#This Row],[Win]]="Lost",TableBets[[#This Row],[BB]]&lt;&gt;"Y"),-TableBets[[#This Row],[Stake]],TableBets[[#This Row],[Win]]="Sold",-TableBets[[#This Row],[Stake]]+TableBets[[#This Row],[Sold for]],TRUE,0)</f>
        <v>0</v>
      </c>
      <c r="N150" s="15"/>
      <c r="O150" s="5"/>
      <c r="R150" s="23">
        <f>TableBets[[#This Row],[Date]]</f>
        <v>44844</v>
      </c>
      <c r="S150" s="15">
        <f>TableBets[[#This Row],[Profit]]+$S149</f>
        <v>-46.009579999999993</v>
      </c>
    </row>
    <row r="151" spans="1:19" x14ac:dyDescent="0.2">
      <c r="A151" s="19">
        <v>44844</v>
      </c>
      <c r="B151" s="7" t="s">
        <v>2</v>
      </c>
      <c r="C151" s="7" t="s">
        <v>291</v>
      </c>
      <c r="D151" s="7" t="s">
        <v>3</v>
      </c>
      <c r="E151" s="7" t="s">
        <v>6</v>
      </c>
      <c r="F151" s="7" t="s">
        <v>292</v>
      </c>
      <c r="G151" s="7" t="s">
        <v>32</v>
      </c>
      <c r="H151" s="7" t="s">
        <v>30</v>
      </c>
      <c r="I151" s="7" t="s">
        <v>56</v>
      </c>
      <c r="J151" s="8">
        <v>8</v>
      </c>
      <c r="K151" s="9">
        <v>1.56</v>
      </c>
      <c r="L151" s="7" t="s">
        <v>18</v>
      </c>
      <c r="M151" s="61">
        <f>_xlfn.IFS(TableBets[[#This Row],[Win]]="Won",TableBets[[#This Row],[Stake]]*(TableBets[[#This Row],[Odds]]-1),AND(TableBets[[#This Row],[Win]]="Lost",TableBets[[#This Row],[BB]]&lt;&gt;"Y"),-TableBets[[#This Row],[Stake]],TableBets[[#This Row],[Win]]="Sold",-TableBets[[#This Row],[Stake]]+TableBets[[#This Row],[Sold for]],TRUE,0)</f>
        <v>4.4800000000000004</v>
      </c>
      <c r="N151" s="15"/>
      <c r="O151" s="5"/>
      <c r="R151" s="23">
        <f>TableBets[[#This Row],[Date]]</f>
        <v>44844</v>
      </c>
      <c r="S151" s="15">
        <f>TableBets[[#This Row],[Profit]]+$S150</f>
        <v>-41.529579999999996</v>
      </c>
    </row>
    <row r="152" spans="1:19" x14ac:dyDescent="0.2">
      <c r="A152" s="19">
        <v>44844</v>
      </c>
      <c r="B152" s="7" t="s">
        <v>2</v>
      </c>
      <c r="C152" s="7" t="s">
        <v>293</v>
      </c>
      <c r="D152" s="7" t="s">
        <v>3</v>
      </c>
      <c r="E152" s="7" t="s">
        <v>6</v>
      </c>
      <c r="F152" s="7" t="s">
        <v>294</v>
      </c>
      <c r="G152" s="7" t="s">
        <v>30</v>
      </c>
      <c r="H152" s="7" t="s">
        <v>30</v>
      </c>
      <c r="I152" s="7" t="s">
        <v>35</v>
      </c>
      <c r="J152" s="8">
        <v>4</v>
      </c>
      <c r="K152" s="9">
        <v>1.62</v>
      </c>
      <c r="L152" s="7" t="s">
        <v>18</v>
      </c>
      <c r="M152" s="61">
        <f>_xlfn.IFS(TableBets[[#This Row],[Win]]="Won",TableBets[[#This Row],[Stake]]*(TableBets[[#This Row],[Odds]]-1),AND(TableBets[[#This Row],[Win]]="Lost",TableBets[[#This Row],[BB]]&lt;&gt;"Y"),-TableBets[[#This Row],[Stake]],TableBets[[#This Row],[Win]]="Sold",-TableBets[[#This Row],[Stake]]+TableBets[[#This Row],[Sold for]],TRUE,0)</f>
        <v>2.4800000000000004</v>
      </c>
      <c r="N152" s="15"/>
      <c r="O152" s="5"/>
      <c r="R152" s="23">
        <f>TableBets[[#This Row],[Date]]</f>
        <v>44844</v>
      </c>
      <c r="S152" s="15">
        <f>TableBets[[#This Row],[Profit]]+$S151</f>
        <v>-39.049579999999992</v>
      </c>
    </row>
    <row r="153" spans="1:19" x14ac:dyDescent="0.2">
      <c r="A153" s="19">
        <v>44844</v>
      </c>
      <c r="B153" s="7" t="s">
        <v>2</v>
      </c>
      <c r="C153" s="7" t="s">
        <v>295</v>
      </c>
      <c r="D153" s="7" t="s">
        <v>3</v>
      </c>
      <c r="E153" s="7" t="s">
        <v>6</v>
      </c>
      <c r="F153" s="7" t="s">
        <v>296</v>
      </c>
      <c r="G153" s="7" t="s">
        <v>32</v>
      </c>
      <c r="H153" s="7" t="s">
        <v>30</v>
      </c>
      <c r="I153" s="7" t="s">
        <v>41</v>
      </c>
      <c r="J153" s="8">
        <v>4</v>
      </c>
      <c r="K153" s="9">
        <v>2.0099999999999998</v>
      </c>
      <c r="L153" s="7" t="s">
        <v>19</v>
      </c>
      <c r="M153" s="61">
        <f>_xlfn.IFS(TableBets[[#This Row],[Win]]="Won",TableBets[[#This Row],[Stake]]*(TableBets[[#This Row],[Odds]]-1),AND(TableBets[[#This Row],[Win]]="Lost",TableBets[[#This Row],[BB]]&lt;&gt;"Y"),-TableBets[[#This Row],[Stake]],TableBets[[#This Row],[Win]]="Sold",-TableBets[[#This Row],[Stake]]+TableBets[[#This Row],[Sold for]],TRUE,0)</f>
        <v>-4</v>
      </c>
      <c r="N153" s="15"/>
      <c r="O153" s="5"/>
      <c r="R153" s="23">
        <f>TableBets[[#This Row],[Date]]</f>
        <v>44844</v>
      </c>
      <c r="S153" s="15">
        <f>TableBets[[#This Row],[Profit]]+$S152</f>
        <v>-43.049579999999992</v>
      </c>
    </row>
    <row r="154" spans="1:19" x14ac:dyDescent="0.2">
      <c r="A154" s="19">
        <v>44844</v>
      </c>
      <c r="B154" s="7" t="s">
        <v>2</v>
      </c>
      <c r="C154" s="7" t="s">
        <v>297</v>
      </c>
      <c r="D154" s="7" t="s">
        <v>11</v>
      </c>
      <c r="E154" s="7" t="s">
        <v>6</v>
      </c>
      <c r="F154" s="7" t="s">
        <v>298</v>
      </c>
      <c r="G154" s="7" t="s">
        <v>30</v>
      </c>
      <c r="H154" s="7" t="s">
        <v>30</v>
      </c>
      <c r="I154" s="7" t="s">
        <v>290</v>
      </c>
      <c r="J154" s="8">
        <v>4</v>
      </c>
      <c r="K154" s="9">
        <v>1.6559999999999999</v>
      </c>
      <c r="L154" s="7" t="s">
        <v>20</v>
      </c>
      <c r="M154" s="61">
        <f>_xlfn.IFS(TableBets[[#This Row],[Win]]="Won",TableBets[[#This Row],[Stake]]*(TableBets[[#This Row],[Odds]]-1),AND(TableBets[[#This Row],[Win]]="Lost",TableBets[[#This Row],[BB]]&lt;&gt;"Y"),-TableBets[[#This Row],[Stake]],TableBets[[#This Row],[Win]]="Sold",-TableBets[[#This Row],[Stake]]+TableBets[[#This Row],[Sold for]],TRUE,0)</f>
        <v>0</v>
      </c>
      <c r="N154" s="15"/>
      <c r="O154" s="5"/>
      <c r="R154" s="23">
        <f>TableBets[[#This Row],[Date]]</f>
        <v>44844</v>
      </c>
      <c r="S154" s="15">
        <f>TableBets[[#This Row],[Profit]]+$S153</f>
        <v>-43.049579999999992</v>
      </c>
    </row>
    <row r="155" spans="1:19" x14ac:dyDescent="0.2">
      <c r="A155" s="19">
        <v>44844</v>
      </c>
      <c r="B155" s="7" t="s">
        <v>2</v>
      </c>
      <c r="C155" s="7" t="s">
        <v>293</v>
      </c>
      <c r="D155" s="7" t="s">
        <v>3</v>
      </c>
      <c r="E155" s="7" t="s">
        <v>6</v>
      </c>
      <c r="F155" s="7" t="s">
        <v>299</v>
      </c>
      <c r="G155" s="7" t="s">
        <v>32</v>
      </c>
      <c r="H155" s="7" t="s">
        <v>30</v>
      </c>
      <c r="I155" s="7" t="s">
        <v>131</v>
      </c>
      <c r="J155" s="8">
        <v>4</v>
      </c>
      <c r="K155" s="9">
        <v>1.54</v>
      </c>
      <c r="L155" s="7" t="s">
        <v>18</v>
      </c>
      <c r="M155" s="61">
        <f>_xlfn.IFS(TableBets[[#This Row],[Win]]="Won",TableBets[[#This Row],[Stake]]*(TableBets[[#This Row],[Odds]]-1),AND(TableBets[[#This Row],[Win]]="Lost",TableBets[[#This Row],[BB]]&lt;&gt;"Y"),-TableBets[[#This Row],[Stake]],TableBets[[#This Row],[Win]]="Sold",-TableBets[[#This Row],[Stake]]+TableBets[[#This Row],[Sold for]],TRUE,0)</f>
        <v>2.16</v>
      </c>
      <c r="N155" s="15"/>
      <c r="O155" s="5"/>
      <c r="R155" s="23">
        <f>TableBets[[#This Row],[Date]]</f>
        <v>44844</v>
      </c>
      <c r="S155" s="15">
        <f>TableBets[[#This Row],[Profit]]+$S154</f>
        <v>-40.889579999999995</v>
      </c>
    </row>
    <row r="156" spans="1:19" x14ac:dyDescent="0.2">
      <c r="A156" s="19">
        <v>44844</v>
      </c>
      <c r="B156" s="7" t="s">
        <v>10</v>
      </c>
      <c r="C156" s="7" t="s">
        <v>300</v>
      </c>
      <c r="D156" s="7" t="s">
        <v>11</v>
      </c>
      <c r="E156" s="7" t="s">
        <v>6</v>
      </c>
      <c r="F156" s="7" t="s">
        <v>301</v>
      </c>
      <c r="G156" s="7" t="s">
        <v>30</v>
      </c>
      <c r="H156" s="7" t="s">
        <v>30</v>
      </c>
      <c r="I156" s="7" t="s">
        <v>302</v>
      </c>
      <c r="J156" s="8">
        <v>4</v>
      </c>
      <c r="K156" s="9">
        <v>1.58</v>
      </c>
      <c r="L156" s="7" t="s">
        <v>18</v>
      </c>
      <c r="M156" s="61">
        <f>_xlfn.IFS(TableBets[[#This Row],[Win]]="Won",TableBets[[#This Row],[Stake]]*(TableBets[[#This Row],[Odds]]-1),AND(TableBets[[#This Row],[Win]]="Lost",TableBets[[#This Row],[BB]]&lt;&gt;"Y"),-TableBets[[#This Row],[Stake]],TableBets[[#This Row],[Win]]="Sold",-TableBets[[#This Row],[Stake]]+TableBets[[#This Row],[Sold for]],TRUE,0)</f>
        <v>2.3200000000000003</v>
      </c>
      <c r="N156" s="15"/>
      <c r="O156" s="5"/>
      <c r="R156" s="23">
        <f>TableBets[[#This Row],[Date]]</f>
        <v>44844</v>
      </c>
      <c r="S156" s="15">
        <f>TableBets[[#This Row],[Profit]]+$S155</f>
        <v>-38.569579999999995</v>
      </c>
    </row>
    <row r="157" spans="1:19" x14ac:dyDescent="0.2">
      <c r="A157" s="19">
        <v>44844</v>
      </c>
      <c r="B157" s="7" t="s">
        <v>2</v>
      </c>
      <c r="C157" s="7" t="s">
        <v>303</v>
      </c>
      <c r="D157" s="7" t="s">
        <v>3</v>
      </c>
      <c r="E157" s="7" t="s">
        <v>6</v>
      </c>
      <c r="F157" s="7" t="s">
        <v>304</v>
      </c>
      <c r="G157" s="7" t="s">
        <v>32</v>
      </c>
      <c r="H157" s="7" t="s">
        <v>30</v>
      </c>
      <c r="I157" s="7" t="s">
        <v>31</v>
      </c>
      <c r="J157" s="8">
        <v>4</v>
      </c>
      <c r="K157" s="9">
        <v>1.88</v>
      </c>
      <c r="L157" s="7" t="s">
        <v>19</v>
      </c>
      <c r="M157" s="61">
        <f>_xlfn.IFS(TableBets[[#This Row],[Win]]="Won",TableBets[[#This Row],[Stake]]*(TableBets[[#This Row],[Odds]]-1),AND(TableBets[[#This Row],[Win]]="Lost",TableBets[[#This Row],[BB]]&lt;&gt;"Y"),-TableBets[[#This Row],[Stake]],TableBets[[#This Row],[Win]]="Sold",-TableBets[[#This Row],[Stake]]+TableBets[[#This Row],[Sold for]],TRUE,0)</f>
        <v>-4</v>
      </c>
      <c r="N157" s="15"/>
      <c r="O157" s="5"/>
      <c r="R157" s="23">
        <f>TableBets[[#This Row],[Date]]</f>
        <v>44844</v>
      </c>
      <c r="S157" s="15">
        <f>TableBets[[#This Row],[Profit]]+$S156</f>
        <v>-42.569579999999995</v>
      </c>
    </row>
    <row r="158" spans="1:19" x14ac:dyDescent="0.2">
      <c r="A158" s="19">
        <v>44844</v>
      </c>
      <c r="B158" s="7" t="s">
        <v>2</v>
      </c>
      <c r="C158" s="7" t="s">
        <v>39</v>
      </c>
      <c r="D158" s="7" t="s">
        <v>3</v>
      </c>
      <c r="E158" s="7" t="s">
        <v>6</v>
      </c>
      <c r="F158" s="7" t="s">
        <v>305</v>
      </c>
      <c r="G158" s="7" t="s">
        <v>32</v>
      </c>
      <c r="H158" s="7" t="s">
        <v>30</v>
      </c>
      <c r="I158" s="7" t="s">
        <v>65</v>
      </c>
      <c r="J158" s="8">
        <v>4</v>
      </c>
      <c r="K158" s="9">
        <v>1.43</v>
      </c>
      <c r="L158" s="7" t="s">
        <v>19</v>
      </c>
      <c r="M158" s="61">
        <f>_xlfn.IFS(TableBets[[#This Row],[Win]]="Won",TableBets[[#This Row],[Stake]]*(TableBets[[#This Row],[Odds]]-1),AND(TableBets[[#This Row],[Win]]="Lost",TableBets[[#This Row],[BB]]&lt;&gt;"Y"),-TableBets[[#This Row],[Stake]],TableBets[[#This Row],[Win]]="Sold",-TableBets[[#This Row],[Stake]]+TableBets[[#This Row],[Sold for]],TRUE,0)</f>
        <v>-4</v>
      </c>
      <c r="N158" s="15"/>
      <c r="O158" s="5"/>
      <c r="R158" s="23">
        <f>TableBets[[#This Row],[Date]]</f>
        <v>44844</v>
      </c>
      <c r="S158" s="15">
        <f>TableBets[[#This Row],[Profit]]+$S157</f>
        <v>-46.569579999999995</v>
      </c>
    </row>
    <row r="159" spans="1:19" x14ac:dyDescent="0.2">
      <c r="A159" s="19">
        <v>44844</v>
      </c>
      <c r="B159" s="7" t="s">
        <v>2</v>
      </c>
      <c r="C159" s="7" t="s">
        <v>293</v>
      </c>
      <c r="D159" s="7" t="s">
        <v>3</v>
      </c>
      <c r="E159" s="7" t="s">
        <v>6</v>
      </c>
      <c r="F159" s="7" t="s">
        <v>306</v>
      </c>
      <c r="G159" s="7" t="s">
        <v>32</v>
      </c>
      <c r="H159" s="7" t="s">
        <v>30</v>
      </c>
      <c r="I159" s="7" t="s">
        <v>97</v>
      </c>
      <c r="J159" s="8">
        <v>4</v>
      </c>
      <c r="K159" s="9">
        <v>1.93</v>
      </c>
      <c r="L159" s="7" t="s">
        <v>19</v>
      </c>
      <c r="M159" s="61">
        <f>_xlfn.IFS(TableBets[[#This Row],[Win]]="Won",TableBets[[#This Row],[Stake]]*(TableBets[[#This Row],[Odds]]-1),AND(TableBets[[#This Row],[Win]]="Lost",TableBets[[#This Row],[BB]]&lt;&gt;"Y"),-TableBets[[#This Row],[Stake]],TableBets[[#This Row],[Win]]="Sold",-TableBets[[#This Row],[Stake]]+TableBets[[#This Row],[Sold for]],TRUE,0)</f>
        <v>-4</v>
      </c>
      <c r="N159" s="15"/>
      <c r="O159" s="5"/>
      <c r="R159" s="23">
        <f>TableBets[[#This Row],[Date]]</f>
        <v>44844</v>
      </c>
      <c r="S159" s="15">
        <f>TableBets[[#This Row],[Profit]]+$S158</f>
        <v>-50.569579999999995</v>
      </c>
    </row>
    <row r="160" spans="1:19" x14ac:dyDescent="0.2">
      <c r="A160" s="19">
        <v>44845</v>
      </c>
      <c r="B160" s="7" t="s">
        <v>2</v>
      </c>
      <c r="C160" s="7" t="s">
        <v>307</v>
      </c>
      <c r="D160" s="7" t="s">
        <v>11</v>
      </c>
      <c r="E160" s="7" t="s">
        <v>6</v>
      </c>
      <c r="F160" s="7" t="s">
        <v>308</v>
      </c>
      <c r="G160" s="7" t="s">
        <v>30</v>
      </c>
      <c r="H160" s="7" t="s">
        <v>30</v>
      </c>
      <c r="I160" s="7" t="s">
        <v>38</v>
      </c>
      <c r="J160" s="8">
        <v>4</v>
      </c>
      <c r="K160" s="9">
        <v>1.38</v>
      </c>
      <c r="L160" s="7" t="s">
        <v>18</v>
      </c>
      <c r="M160" s="61">
        <f>_xlfn.IFS(TableBets[[#This Row],[Win]]="Won",TableBets[[#This Row],[Stake]]*(TableBets[[#This Row],[Odds]]-1),AND(TableBets[[#This Row],[Win]]="Lost",TableBets[[#This Row],[BB]]&lt;&gt;"Y"),-TableBets[[#This Row],[Stake]],TableBets[[#This Row],[Win]]="Sold",-TableBets[[#This Row],[Stake]]+TableBets[[#This Row],[Sold for]],TRUE,0)</f>
        <v>1.5199999999999996</v>
      </c>
      <c r="N160" s="15"/>
      <c r="O160" s="5"/>
      <c r="R160" s="23">
        <f>TableBets[[#This Row],[Date]]</f>
        <v>44845</v>
      </c>
      <c r="S160" s="15">
        <f>TableBets[[#This Row],[Profit]]+$S159</f>
        <v>-49.049579999999992</v>
      </c>
    </row>
    <row r="161" spans="1:19" x14ac:dyDescent="0.2">
      <c r="A161" s="19">
        <v>44845</v>
      </c>
      <c r="B161" s="7" t="s">
        <v>2</v>
      </c>
      <c r="C161" s="7" t="s">
        <v>309</v>
      </c>
      <c r="D161" s="7" t="s">
        <v>11</v>
      </c>
      <c r="E161" s="7" t="s">
        <v>6</v>
      </c>
      <c r="F161" s="7" t="s">
        <v>310</v>
      </c>
      <c r="G161" s="7" t="s">
        <v>30</v>
      </c>
      <c r="H161" s="7" t="s">
        <v>30</v>
      </c>
      <c r="I161" s="7" t="s">
        <v>35</v>
      </c>
      <c r="J161" s="8">
        <v>4</v>
      </c>
      <c r="K161" s="9">
        <v>1.51</v>
      </c>
      <c r="L161" s="7" t="s">
        <v>19</v>
      </c>
      <c r="M161" s="61">
        <f>_xlfn.IFS(TableBets[[#This Row],[Win]]="Won",TableBets[[#This Row],[Stake]]*(TableBets[[#This Row],[Odds]]-1),AND(TableBets[[#This Row],[Win]]="Lost",TableBets[[#This Row],[BB]]&lt;&gt;"Y"),-TableBets[[#This Row],[Stake]],TableBets[[#This Row],[Win]]="Sold",-TableBets[[#This Row],[Stake]]+TableBets[[#This Row],[Sold for]],TRUE,0)</f>
        <v>-4</v>
      </c>
      <c r="N161" s="15"/>
      <c r="O161" s="5"/>
      <c r="R161" s="23">
        <f>TableBets[[#This Row],[Date]]</f>
        <v>44845</v>
      </c>
      <c r="S161" s="15">
        <f>TableBets[[#This Row],[Profit]]+$S160</f>
        <v>-53.049579999999992</v>
      </c>
    </row>
    <row r="162" spans="1:19" x14ac:dyDescent="0.2">
      <c r="A162" s="19">
        <v>44845</v>
      </c>
      <c r="B162" s="7" t="s">
        <v>2</v>
      </c>
      <c r="C162" s="7" t="s">
        <v>291</v>
      </c>
      <c r="D162" s="7" t="s">
        <v>3</v>
      </c>
      <c r="E162" s="7" t="s">
        <v>6</v>
      </c>
      <c r="F162" s="7" t="s">
        <v>311</v>
      </c>
      <c r="G162" s="7" t="s">
        <v>30</v>
      </c>
      <c r="H162" s="7" t="s">
        <v>30</v>
      </c>
      <c r="I162" s="7" t="s">
        <v>35</v>
      </c>
      <c r="J162" s="8">
        <v>2</v>
      </c>
      <c r="K162" s="9">
        <v>1.83</v>
      </c>
      <c r="L162" s="7" t="s">
        <v>18</v>
      </c>
      <c r="M162" s="61">
        <f>_xlfn.IFS(TableBets[[#This Row],[Win]]="Won",TableBets[[#This Row],[Stake]]*(TableBets[[#This Row],[Odds]]-1),AND(TableBets[[#This Row],[Win]]="Lost",TableBets[[#This Row],[BB]]&lt;&gt;"Y"),-TableBets[[#This Row],[Stake]],TableBets[[#This Row],[Win]]="Sold",-TableBets[[#This Row],[Stake]]+TableBets[[#This Row],[Sold for]],TRUE,0)</f>
        <v>1.6600000000000001</v>
      </c>
      <c r="N162" s="15"/>
      <c r="O162" s="5"/>
      <c r="R162" s="23">
        <f>TableBets[[#This Row],[Date]]</f>
        <v>44845</v>
      </c>
      <c r="S162" s="15">
        <f>TableBets[[#This Row],[Profit]]+$S161</f>
        <v>-51.389579999999995</v>
      </c>
    </row>
    <row r="163" spans="1:19" x14ac:dyDescent="0.2">
      <c r="A163" s="19">
        <v>44845</v>
      </c>
      <c r="B163" s="7" t="s">
        <v>2</v>
      </c>
      <c r="C163" s="7" t="s">
        <v>312</v>
      </c>
      <c r="D163" s="7" t="s">
        <v>3</v>
      </c>
      <c r="E163" s="7" t="s">
        <v>6</v>
      </c>
      <c r="F163" s="7" t="s">
        <v>313</v>
      </c>
      <c r="G163" s="7" t="s">
        <v>32</v>
      </c>
      <c r="H163" s="7" t="s">
        <v>30</v>
      </c>
      <c r="I163" s="7" t="s">
        <v>97</v>
      </c>
      <c r="J163" s="8">
        <v>4</v>
      </c>
      <c r="K163" s="9">
        <v>1.43</v>
      </c>
      <c r="L163" s="7" t="s">
        <v>19</v>
      </c>
      <c r="M163" s="61">
        <f>_xlfn.IFS(TableBets[[#This Row],[Win]]="Won",TableBets[[#This Row],[Stake]]*(TableBets[[#This Row],[Odds]]-1),AND(TableBets[[#This Row],[Win]]="Lost",TableBets[[#This Row],[BB]]&lt;&gt;"Y"),-TableBets[[#This Row],[Stake]],TableBets[[#This Row],[Win]]="Sold",-TableBets[[#This Row],[Stake]]+TableBets[[#This Row],[Sold for]],TRUE,0)</f>
        <v>-4</v>
      </c>
      <c r="N163" s="15"/>
      <c r="O163" s="5"/>
      <c r="R163" s="23">
        <f>TableBets[[#This Row],[Date]]</f>
        <v>44845</v>
      </c>
      <c r="S163" s="15">
        <f>TableBets[[#This Row],[Profit]]+$S162</f>
        <v>-55.389579999999995</v>
      </c>
    </row>
    <row r="164" spans="1:19" x14ac:dyDescent="0.2">
      <c r="A164" s="19">
        <v>44845</v>
      </c>
      <c r="B164" s="7" t="s">
        <v>2</v>
      </c>
      <c r="C164" s="7" t="s">
        <v>314</v>
      </c>
      <c r="D164" s="7" t="s">
        <v>3</v>
      </c>
      <c r="E164" s="7" t="s">
        <v>6</v>
      </c>
      <c r="F164" s="7" t="s">
        <v>315</v>
      </c>
      <c r="G164" s="7" t="s">
        <v>32</v>
      </c>
      <c r="H164" s="7" t="s">
        <v>30</v>
      </c>
      <c r="I164" s="7" t="s">
        <v>31</v>
      </c>
      <c r="J164" s="8">
        <v>4</v>
      </c>
      <c r="K164" s="9">
        <v>1.49</v>
      </c>
      <c r="L164" s="7" t="s">
        <v>18</v>
      </c>
      <c r="M164" s="61">
        <f>_xlfn.IFS(TableBets[[#This Row],[Win]]="Won",TableBets[[#This Row],[Stake]]*(TableBets[[#This Row],[Odds]]-1),AND(TableBets[[#This Row],[Win]]="Lost",TableBets[[#This Row],[BB]]&lt;&gt;"Y"),-TableBets[[#This Row],[Stake]],TableBets[[#This Row],[Win]]="Sold",-TableBets[[#This Row],[Stake]]+TableBets[[#This Row],[Sold for]],TRUE,0)</f>
        <v>1.96</v>
      </c>
      <c r="N164" s="15"/>
      <c r="O164" s="5"/>
      <c r="R164" s="23">
        <f>TableBets[[#This Row],[Date]]</f>
        <v>44845</v>
      </c>
      <c r="S164" s="15">
        <f>TableBets[[#This Row],[Profit]]+$S163</f>
        <v>-53.429579999999994</v>
      </c>
    </row>
    <row r="165" spans="1:19" x14ac:dyDescent="0.2">
      <c r="A165" s="19">
        <v>44845</v>
      </c>
      <c r="B165" s="7" t="s">
        <v>2</v>
      </c>
      <c r="C165" s="7" t="s">
        <v>78</v>
      </c>
      <c r="D165" s="7" t="s">
        <v>3</v>
      </c>
      <c r="E165" s="7" t="s">
        <v>6</v>
      </c>
      <c r="F165" s="7" t="s">
        <v>316</v>
      </c>
      <c r="G165" s="7" t="s">
        <v>32</v>
      </c>
      <c r="H165" s="7" t="s">
        <v>30</v>
      </c>
      <c r="I165" s="7" t="s">
        <v>152</v>
      </c>
      <c r="J165" s="8">
        <v>4</v>
      </c>
      <c r="K165" s="9">
        <v>1.91</v>
      </c>
      <c r="L165" s="7" t="s">
        <v>19</v>
      </c>
      <c r="M165" s="61">
        <f>_xlfn.IFS(TableBets[[#This Row],[Win]]="Won",TableBets[[#This Row],[Stake]]*(TableBets[[#This Row],[Odds]]-1),AND(TableBets[[#This Row],[Win]]="Lost",TableBets[[#This Row],[BB]]&lt;&gt;"Y"),-TableBets[[#This Row],[Stake]],TableBets[[#This Row],[Win]]="Sold",-TableBets[[#This Row],[Stake]]+TableBets[[#This Row],[Sold for]],TRUE,0)</f>
        <v>-4</v>
      </c>
      <c r="N165" s="15"/>
      <c r="O165" s="5"/>
      <c r="R165" s="23">
        <f>TableBets[[#This Row],[Date]]</f>
        <v>44845</v>
      </c>
      <c r="S165" s="15">
        <f>TableBets[[#This Row],[Profit]]+$S164</f>
        <v>-57.429579999999994</v>
      </c>
    </row>
    <row r="166" spans="1:19" x14ac:dyDescent="0.2">
      <c r="A166" s="19">
        <v>44845</v>
      </c>
      <c r="B166" s="7" t="s">
        <v>2</v>
      </c>
      <c r="C166" s="7" t="s">
        <v>291</v>
      </c>
      <c r="D166" s="7" t="s">
        <v>3</v>
      </c>
      <c r="E166" s="7" t="s">
        <v>6</v>
      </c>
      <c r="F166" s="7" t="s">
        <v>317</v>
      </c>
      <c r="G166" s="7" t="s">
        <v>32</v>
      </c>
      <c r="H166" s="7" t="s">
        <v>30</v>
      </c>
      <c r="I166" s="7" t="s">
        <v>91</v>
      </c>
      <c r="J166" s="8">
        <v>8</v>
      </c>
      <c r="K166" s="9">
        <v>1.8440000000000001</v>
      </c>
      <c r="L166" s="7" t="s">
        <v>18</v>
      </c>
      <c r="M166" s="61">
        <f>_xlfn.IFS(TableBets[[#This Row],[Win]]="Won",TableBets[[#This Row],[Stake]]*(TableBets[[#This Row],[Odds]]-1),AND(TableBets[[#This Row],[Win]]="Lost",TableBets[[#This Row],[BB]]&lt;&gt;"Y"),-TableBets[[#This Row],[Stake]],TableBets[[#This Row],[Win]]="Sold",-TableBets[[#This Row],[Stake]]+TableBets[[#This Row],[Sold for]],TRUE,0)</f>
        <v>6.7520000000000007</v>
      </c>
      <c r="N166" s="15"/>
      <c r="O166" s="5"/>
      <c r="R166" s="23">
        <f>TableBets[[#This Row],[Date]]</f>
        <v>44845</v>
      </c>
      <c r="S166" s="15">
        <f>TableBets[[#This Row],[Profit]]+$S165</f>
        <v>-50.677579999999992</v>
      </c>
    </row>
    <row r="167" spans="1:19" x14ac:dyDescent="0.2">
      <c r="A167" s="19">
        <v>44845</v>
      </c>
      <c r="B167" s="7" t="s">
        <v>2</v>
      </c>
      <c r="C167" s="7" t="s">
        <v>78</v>
      </c>
      <c r="D167" s="7" t="s">
        <v>3</v>
      </c>
      <c r="E167" s="7" t="s">
        <v>6</v>
      </c>
      <c r="F167" s="7" t="s">
        <v>318</v>
      </c>
      <c r="G167" s="7" t="s">
        <v>32</v>
      </c>
      <c r="H167" s="7" t="s">
        <v>30</v>
      </c>
      <c r="I167" s="7" t="s">
        <v>112</v>
      </c>
      <c r="J167" s="8">
        <v>8</v>
      </c>
      <c r="K167" s="9">
        <v>1.62</v>
      </c>
      <c r="L167" s="7" t="s">
        <v>18</v>
      </c>
      <c r="M167" s="61">
        <f>_xlfn.IFS(TableBets[[#This Row],[Win]]="Won",TableBets[[#This Row],[Stake]]*(TableBets[[#This Row],[Odds]]-1),AND(TableBets[[#This Row],[Win]]="Lost",TableBets[[#This Row],[BB]]&lt;&gt;"Y"),-TableBets[[#This Row],[Stake]],TableBets[[#This Row],[Win]]="Sold",-TableBets[[#This Row],[Stake]]+TableBets[[#This Row],[Sold for]],TRUE,0)</f>
        <v>4.9600000000000009</v>
      </c>
      <c r="N167" s="15"/>
      <c r="O167" s="5"/>
      <c r="R167" s="23">
        <f>TableBets[[#This Row],[Date]]</f>
        <v>44845</v>
      </c>
      <c r="S167" s="15">
        <f>TableBets[[#This Row],[Profit]]+$S166</f>
        <v>-45.717579999999991</v>
      </c>
    </row>
    <row r="168" spans="1:19" x14ac:dyDescent="0.2">
      <c r="A168" s="19">
        <v>44845</v>
      </c>
      <c r="B168" s="7" t="s">
        <v>2</v>
      </c>
      <c r="C168" s="7" t="s">
        <v>78</v>
      </c>
      <c r="D168" s="7" t="s">
        <v>3</v>
      </c>
      <c r="E168" s="7" t="s">
        <v>6</v>
      </c>
      <c r="F168" s="7" t="s">
        <v>319</v>
      </c>
      <c r="G168" s="7" t="s">
        <v>32</v>
      </c>
      <c r="H168" s="7" t="s">
        <v>30</v>
      </c>
      <c r="I168" s="7" t="s">
        <v>65</v>
      </c>
      <c r="J168" s="8">
        <v>4</v>
      </c>
      <c r="K168" s="9">
        <v>2.33</v>
      </c>
      <c r="L168" s="7" t="s">
        <v>19</v>
      </c>
      <c r="M168" s="61">
        <f>_xlfn.IFS(TableBets[[#This Row],[Win]]="Won",TableBets[[#This Row],[Stake]]*(TableBets[[#This Row],[Odds]]-1),AND(TableBets[[#This Row],[Win]]="Lost",TableBets[[#This Row],[BB]]&lt;&gt;"Y"),-TableBets[[#This Row],[Stake]],TableBets[[#This Row],[Win]]="Sold",-TableBets[[#This Row],[Stake]]+TableBets[[#This Row],[Sold for]],TRUE,0)</f>
        <v>-4</v>
      </c>
      <c r="N168" s="15"/>
      <c r="O168" s="5"/>
      <c r="R168" s="23">
        <f>TableBets[[#This Row],[Date]]</f>
        <v>44845</v>
      </c>
      <c r="S168" s="15">
        <f>TableBets[[#This Row],[Profit]]+$S167</f>
        <v>-49.717579999999991</v>
      </c>
    </row>
    <row r="169" spans="1:19" x14ac:dyDescent="0.2">
      <c r="A169" s="19">
        <v>44845</v>
      </c>
      <c r="B169" s="7" t="s">
        <v>2</v>
      </c>
      <c r="C169" s="7" t="s">
        <v>291</v>
      </c>
      <c r="D169" s="7" t="s">
        <v>3</v>
      </c>
      <c r="E169" s="7" t="s">
        <v>6</v>
      </c>
      <c r="F169" s="7" t="s">
        <v>320</v>
      </c>
      <c r="G169" s="7" t="s">
        <v>32</v>
      </c>
      <c r="H169" s="7" t="s">
        <v>30</v>
      </c>
      <c r="I169" s="7" t="s">
        <v>143</v>
      </c>
      <c r="J169" s="8">
        <v>4</v>
      </c>
      <c r="K169" s="9">
        <v>2.08</v>
      </c>
      <c r="L169" s="7" t="s">
        <v>18</v>
      </c>
      <c r="M169" s="61">
        <f>_xlfn.IFS(TableBets[[#This Row],[Win]]="Won",TableBets[[#This Row],[Stake]]*(TableBets[[#This Row],[Odds]]-1),AND(TableBets[[#This Row],[Win]]="Lost",TableBets[[#This Row],[BB]]&lt;&gt;"Y"),-TableBets[[#This Row],[Stake]],TableBets[[#This Row],[Win]]="Sold",-TableBets[[#This Row],[Stake]]+TableBets[[#This Row],[Sold for]],TRUE,0)</f>
        <v>4.32</v>
      </c>
      <c r="N169" s="15"/>
      <c r="O169" s="5"/>
      <c r="R169" s="23">
        <f>TableBets[[#This Row],[Date]]</f>
        <v>44845</v>
      </c>
      <c r="S169" s="15">
        <f>TableBets[[#This Row],[Profit]]+$S168</f>
        <v>-45.397579999999991</v>
      </c>
    </row>
    <row r="170" spans="1:19" x14ac:dyDescent="0.2">
      <c r="A170" s="19">
        <v>44845</v>
      </c>
      <c r="B170" s="7" t="s">
        <v>2</v>
      </c>
      <c r="C170" s="7" t="s">
        <v>121</v>
      </c>
      <c r="D170" s="7" t="s">
        <v>3</v>
      </c>
      <c r="E170" s="7" t="s">
        <v>6</v>
      </c>
      <c r="F170" s="7" t="s">
        <v>321</v>
      </c>
      <c r="G170" s="7" t="s">
        <v>32</v>
      </c>
      <c r="H170" s="7" t="s">
        <v>30</v>
      </c>
      <c r="I170" s="7" t="s">
        <v>62</v>
      </c>
      <c r="J170" s="8">
        <v>4</v>
      </c>
      <c r="K170" s="9">
        <v>1.96</v>
      </c>
      <c r="L170" s="7" t="s">
        <v>18</v>
      </c>
      <c r="M170" s="61">
        <f>_xlfn.IFS(TableBets[[#This Row],[Win]]="Won",TableBets[[#This Row],[Stake]]*(TableBets[[#This Row],[Odds]]-1),AND(TableBets[[#This Row],[Win]]="Lost",TableBets[[#This Row],[BB]]&lt;&gt;"Y"),-TableBets[[#This Row],[Stake]],TableBets[[#This Row],[Win]]="Sold",-TableBets[[#This Row],[Stake]]+TableBets[[#This Row],[Sold for]],TRUE,0)</f>
        <v>3.84</v>
      </c>
      <c r="N170" s="15"/>
      <c r="O170" s="5"/>
      <c r="R170" s="23">
        <f>TableBets[[#This Row],[Date]]</f>
        <v>44845</v>
      </c>
      <c r="S170" s="15">
        <f>TableBets[[#This Row],[Profit]]+$S169</f>
        <v>-41.557579999999987</v>
      </c>
    </row>
    <row r="171" spans="1:19" x14ac:dyDescent="0.2">
      <c r="A171" s="19">
        <v>44846</v>
      </c>
      <c r="B171" s="7" t="s">
        <v>2</v>
      </c>
      <c r="C171" s="7" t="s">
        <v>121</v>
      </c>
      <c r="D171" s="7" t="s">
        <v>3</v>
      </c>
      <c r="E171" s="7" t="s">
        <v>6</v>
      </c>
      <c r="F171" s="7" t="s">
        <v>322</v>
      </c>
      <c r="G171" s="7" t="s">
        <v>30</v>
      </c>
      <c r="H171" s="7" t="s">
        <v>30</v>
      </c>
      <c r="I171" s="7" t="s">
        <v>65</v>
      </c>
      <c r="J171" s="8">
        <v>4</v>
      </c>
      <c r="K171" s="9">
        <v>1.55</v>
      </c>
      <c r="L171" s="7" t="s">
        <v>18</v>
      </c>
      <c r="M171" s="61">
        <f>_xlfn.IFS(TableBets[[#This Row],[Win]]="Won",TableBets[[#This Row],[Stake]]*(TableBets[[#This Row],[Odds]]-1),AND(TableBets[[#This Row],[Win]]="Lost",TableBets[[#This Row],[BB]]&lt;&gt;"Y"),-TableBets[[#This Row],[Stake]],TableBets[[#This Row],[Win]]="Sold",-TableBets[[#This Row],[Stake]]+TableBets[[#This Row],[Sold for]],TRUE,0)</f>
        <v>2.2000000000000002</v>
      </c>
      <c r="N171" s="15"/>
      <c r="O171" s="5"/>
      <c r="R171" s="23">
        <f>TableBets[[#This Row],[Date]]</f>
        <v>44846</v>
      </c>
      <c r="S171" s="15">
        <f>TableBets[[#This Row],[Profit]]+$S170</f>
        <v>-39.357579999999984</v>
      </c>
    </row>
    <row r="172" spans="1:19" x14ac:dyDescent="0.2">
      <c r="A172" s="19">
        <v>44846</v>
      </c>
      <c r="B172" s="7" t="s">
        <v>2</v>
      </c>
      <c r="C172" s="7" t="s">
        <v>323</v>
      </c>
      <c r="D172" s="7" t="s">
        <v>3</v>
      </c>
      <c r="E172" s="7" t="s">
        <v>6</v>
      </c>
      <c r="F172" s="7" t="s">
        <v>324</v>
      </c>
      <c r="G172" s="7" t="s">
        <v>30</v>
      </c>
      <c r="H172" s="7" t="s">
        <v>30</v>
      </c>
      <c r="I172" s="7" t="s">
        <v>35</v>
      </c>
      <c r="J172" s="8">
        <v>4</v>
      </c>
      <c r="K172" s="9">
        <v>1.46</v>
      </c>
      <c r="L172" s="7" t="s">
        <v>18</v>
      </c>
      <c r="M172" s="61">
        <f>_xlfn.IFS(TableBets[[#This Row],[Win]]="Won",TableBets[[#This Row],[Stake]]*(TableBets[[#This Row],[Odds]]-1),AND(TableBets[[#This Row],[Win]]="Lost",TableBets[[#This Row],[BB]]&lt;&gt;"Y"),-TableBets[[#This Row],[Stake]],TableBets[[#This Row],[Win]]="Sold",-TableBets[[#This Row],[Stake]]+TableBets[[#This Row],[Sold for]],TRUE,0)</f>
        <v>1.8399999999999999</v>
      </c>
      <c r="N172" s="15"/>
      <c r="O172" s="5"/>
      <c r="R172" s="23">
        <f>TableBets[[#This Row],[Date]]</f>
        <v>44846</v>
      </c>
      <c r="S172" s="15">
        <f>TableBets[[#This Row],[Profit]]+$S171</f>
        <v>-37.517579999999981</v>
      </c>
    </row>
    <row r="173" spans="1:19" x14ac:dyDescent="0.2">
      <c r="A173" s="19">
        <v>44846</v>
      </c>
      <c r="B173" s="7" t="s">
        <v>2</v>
      </c>
      <c r="C173" s="7" t="s">
        <v>325</v>
      </c>
      <c r="D173" s="7" t="s">
        <v>3</v>
      </c>
      <c r="E173" s="7" t="s">
        <v>6</v>
      </c>
      <c r="F173" s="7" t="s">
        <v>326</v>
      </c>
      <c r="G173" s="7" t="s">
        <v>30</v>
      </c>
      <c r="H173" s="7" t="s">
        <v>30</v>
      </c>
      <c r="I173" s="7" t="s">
        <v>38</v>
      </c>
      <c r="J173" s="8">
        <v>4</v>
      </c>
      <c r="K173" s="9">
        <v>1.96</v>
      </c>
      <c r="L173" s="7" t="s">
        <v>18</v>
      </c>
      <c r="M173" s="61">
        <f>_xlfn.IFS(TableBets[[#This Row],[Win]]="Won",TableBets[[#This Row],[Stake]]*(TableBets[[#This Row],[Odds]]-1),AND(TableBets[[#This Row],[Win]]="Lost",TableBets[[#This Row],[BB]]&lt;&gt;"Y"),-TableBets[[#This Row],[Stake]],TableBets[[#This Row],[Win]]="Sold",-TableBets[[#This Row],[Stake]]+TableBets[[#This Row],[Sold for]],TRUE,0)</f>
        <v>3.84</v>
      </c>
      <c r="N173" s="15"/>
      <c r="O173" s="5"/>
      <c r="R173" s="23">
        <f>TableBets[[#This Row],[Date]]</f>
        <v>44846</v>
      </c>
      <c r="S173" s="15">
        <f>TableBets[[#This Row],[Profit]]+$S172</f>
        <v>-33.677579999999978</v>
      </c>
    </row>
    <row r="174" spans="1:19" x14ac:dyDescent="0.2">
      <c r="A174" s="19">
        <v>44846</v>
      </c>
      <c r="B174" s="7" t="s">
        <v>2</v>
      </c>
      <c r="C174" s="7" t="s">
        <v>327</v>
      </c>
      <c r="D174" s="7" t="s">
        <v>3</v>
      </c>
      <c r="E174" s="7" t="s">
        <v>6</v>
      </c>
      <c r="F174" s="7" t="s">
        <v>328</v>
      </c>
      <c r="G174" s="7" t="s">
        <v>32</v>
      </c>
      <c r="H174" s="7" t="s">
        <v>30</v>
      </c>
      <c r="I174" s="7" t="s">
        <v>329</v>
      </c>
      <c r="J174" s="8">
        <v>4</v>
      </c>
      <c r="K174" s="9">
        <v>2.19</v>
      </c>
      <c r="L174" s="7" t="s">
        <v>18</v>
      </c>
      <c r="M174" s="61">
        <f>_xlfn.IFS(TableBets[[#This Row],[Win]]="Won",TableBets[[#This Row],[Stake]]*(TableBets[[#This Row],[Odds]]-1),AND(TableBets[[#This Row],[Win]]="Lost",TableBets[[#This Row],[BB]]&lt;&gt;"Y"),-TableBets[[#This Row],[Stake]],TableBets[[#This Row],[Win]]="Sold",-TableBets[[#This Row],[Stake]]+TableBets[[#This Row],[Sold for]],TRUE,0)</f>
        <v>4.76</v>
      </c>
      <c r="N174" s="15"/>
      <c r="O174" s="5"/>
      <c r="R174" s="23">
        <f>TableBets[[#This Row],[Date]]</f>
        <v>44846</v>
      </c>
      <c r="S174" s="15">
        <f>TableBets[[#This Row],[Profit]]+$S173</f>
        <v>-28.91757999999998</v>
      </c>
    </row>
    <row r="175" spans="1:19" x14ac:dyDescent="0.2">
      <c r="A175" s="19">
        <v>44846</v>
      </c>
      <c r="B175" s="7" t="s">
        <v>2</v>
      </c>
      <c r="C175" s="7" t="s">
        <v>327</v>
      </c>
      <c r="D175" s="7" t="s">
        <v>3</v>
      </c>
      <c r="E175" s="7" t="s">
        <v>6</v>
      </c>
      <c r="F175" s="7" t="s">
        <v>330</v>
      </c>
      <c r="G175" s="7" t="s">
        <v>30</v>
      </c>
      <c r="H175" s="7" t="s">
        <v>30</v>
      </c>
      <c r="I175" s="7" t="s">
        <v>161</v>
      </c>
      <c r="J175" s="8">
        <v>4</v>
      </c>
      <c r="K175" s="9">
        <v>1.476</v>
      </c>
      <c r="L175" s="7" t="s">
        <v>18</v>
      </c>
      <c r="M175" s="61">
        <f>_xlfn.IFS(TableBets[[#This Row],[Win]]="Won",TableBets[[#This Row],[Stake]]*(TableBets[[#This Row],[Odds]]-1),AND(TableBets[[#This Row],[Win]]="Lost",TableBets[[#This Row],[BB]]&lt;&gt;"Y"),-TableBets[[#This Row],[Stake]],TableBets[[#This Row],[Win]]="Sold",-TableBets[[#This Row],[Stake]]+TableBets[[#This Row],[Sold for]],TRUE,0)</f>
        <v>1.9039999999999999</v>
      </c>
      <c r="N175" s="15"/>
      <c r="O175" s="5"/>
      <c r="R175" s="23">
        <f>TableBets[[#This Row],[Date]]</f>
        <v>44846</v>
      </c>
      <c r="S175" s="15">
        <f>TableBets[[#This Row],[Profit]]+$S174</f>
        <v>-27.01357999999998</v>
      </c>
    </row>
    <row r="176" spans="1:19" x14ac:dyDescent="0.2">
      <c r="A176" s="19">
        <v>44846</v>
      </c>
      <c r="B176" s="7" t="s">
        <v>2</v>
      </c>
      <c r="C176" s="7" t="s">
        <v>331</v>
      </c>
      <c r="D176" s="7" t="s">
        <v>3</v>
      </c>
      <c r="E176" s="7" t="s">
        <v>6</v>
      </c>
      <c r="F176" s="7" t="s">
        <v>373</v>
      </c>
      <c r="G176" s="7" t="s">
        <v>30</v>
      </c>
      <c r="H176" s="7" t="s">
        <v>30</v>
      </c>
      <c r="I176" s="7" t="s">
        <v>35</v>
      </c>
      <c r="J176" s="8">
        <v>4</v>
      </c>
      <c r="K176" s="9">
        <v>1.77</v>
      </c>
      <c r="L176" s="7" t="s">
        <v>18</v>
      </c>
      <c r="M176" s="61">
        <f>_xlfn.IFS(TableBets[[#This Row],[Win]]="Won",TableBets[[#This Row],[Stake]]*(TableBets[[#This Row],[Odds]]-1),AND(TableBets[[#This Row],[Win]]="Lost",TableBets[[#This Row],[BB]]&lt;&gt;"Y"),-TableBets[[#This Row],[Stake]],TableBets[[#This Row],[Win]]="Sold",-TableBets[[#This Row],[Stake]]+TableBets[[#This Row],[Sold for]],TRUE,0)</f>
        <v>3.08</v>
      </c>
      <c r="N176" s="15"/>
      <c r="O176" s="5"/>
      <c r="R176" s="23">
        <f>TableBets[[#This Row],[Date]]</f>
        <v>44846</v>
      </c>
      <c r="S176" s="15">
        <f>TableBets[[#This Row],[Profit]]+$S175</f>
        <v>-23.933579999999978</v>
      </c>
    </row>
    <row r="177" spans="1:19" x14ac:dyDescent="0.2">
      <c r="A177" s="19">
        <v>44846</v>
      </c>
      <c r="B177" s="7" t="s">
        <v>2</v>
      </c>
      <c r="C177" s="7" t="s">
        <v>232</v>
      </c>
      <c r="D177" s="7" t="s">
        <v>3</v>
      </c>
      <c r="E177" s="7" t="s">
        <v>6</v>
      </c>
      <c r="F177" s="7" t="s">
        <v>332</v>
      </c>
      <c r="G177" s="7" t="s">
        <v>30</v>
      </c>
      <c r="H177" s="7" t="s">
        <v>30</v>
      </c>
      <c r="I177" s="7" t="s">
        <v>38</v>
      </c>
      <c r="J177" s="8">
        <v>4</v>
      </c>
      <c r="K177" s="9">
        <v>1.556</v>
      </c>
      <c r="L177" s="7" t="s">
        <v>18</v>
      </c>
      <c r="M177" s="61">
        <f>_xlfn.IFS(TableBets[[#This Row],[Win]]="Won",TableBets[[#This Row],[Stake]]*(TableBets[[#This Row],[Odds]]-1),AND(TableBets[[#This Row],[Win]]="Lost",TableBets[[#This Row],[BB]]&lt;&gt;"Y"),-TableBets[[#This Row],[Stake]],TableBets[[#This Row],[Win]]="Sold",-TableBets[[#This Row],[Stake]]+TableBets[[#This Row],[Sold for]],TRUE,0)</f>
        <v>2.2240000000000002</v>
      </c>
      <c r="N177" s="15"/>
      <c r="O177" s="5"/>
      <c r="R177" s="23">
        <f>TableBets[[#This Row],[Date]]</f>
        <v>44846</v>
      </c>
      <c r="S177" s="15">
        <f>TableBets[[#This Row],[Profit]]+$S176</f>
        <v>-21.709579999999978</v>
      </c>
    </row>
    <row r="178" spans="1:19" x14ac:dyDescent="0.2">
      <c r="A178" s="19">
        <v>44846</v>
      </c>
      <c r="B178" s="7" t="s">
        <v>2</v>
      </c>
      <c r="C178" s="7" t="s">
        <v>333</v>
      </c>
      <c r="D178" s="7" t="s">
        <v>3</v>
      </c>
      <c r="E178" s="7" t="s">
        <v>6</v>
      </c>
      <c r="F178" s="7" t="s">
        <v>334</v>
      </c>
      <c r="G178" s="7" t="s">
        <v>32</v>
      </c>
      <c r="H178" s="7" t="s">
        <v>30</v>
      </c>
      <c r="I178" s="7" t="s">
        <v>106</v>
      </c>
      <c r="J178" s="8">
        <v>4</v>
      </c>
      <c r="K178" s="9">
        <v>1.47</v>
      </c>
      <c r="L178" s="7" t="s">
        <v>18</v>
      </c>
      <c r="M178" s="61">
        <f>_xlfn.IFS(TableBets[[#This Row],[Win]]="Won",TableBets[[#This Row],[Stake]]*(TableBets[[#This Row],[Odds]]-1),AND(TableBets[[#This Row],[Win]]="Lost",TableBets[[#This Row],[BB]]&lt;&gt;"Y"),-TableBets[[#This Row],[Stake]],TableBets[[#This Row],[Win]]="Sold",-TableBets[[#This Row],[Stake]]+TableBets[[#This Row],[Sold for]],TRUE,0)</f>
        <v>1.88</v>
      </c>
      <c r="N178" s="15"/>
      <c r="O178" s="5"/>
      <c r="R178" s="23">
        <f>TableBets[[#This Row],[Date]]</f>
        <v>44846</v>
      </c>
      <c r="S178" s="15">
        <f>TableBets[[#This Row],[Profit]]+$S177</f>
        <v>-19.829579999999979</v>
      </c>
    </row>
    <row r="179" spans="1:19" x14ac:dyDescent="0.2">
      <c r="A179" s="19">
        <v>44847</v>
      </c>
      <c r="B179" s="7" t="s">
        <v>2</v>
      </c>
      <c r="C179" s="7" t="s">
        <v>291</v>
      </c>
      <c r="D179" s="7" t="s">
        <v>3</v>
      </c>
      <c r="E179" s="7" t="s">
        <v>6</v>
      </c>
      <c r="F179" s="7" t="s">
        <v>335</v>
      </c>
      <c r="G179" s="7" t="s">
        <v>30</v>
      </c>
      <c r="H179" s="7" t="s">
        <v>30</v>
      </c>
      <c r="I179" s="7" t="s">
        <v>38</v>
      </c>
      <c r="J179" s="8">
        <v>4</v>
      </c>
      <c r="K179" s="9">
        <v>1.68</v>
      </c>
      <c r="L179" s="7" t="s">
        <v>18</v>
      </c>
      <c r="M179" s="61">
        <f>_xlfn.IFS(TableBets[[#This Row],[Win]]="Won",TableBets[[#This Row],[Stake]]*(TableBets[[#This Row],[Odds]]-1),AND(TableBets[[#This Row],[Win]]="Lost",TableBets[[#This Row],[BB]]&lt;&gt;"Y"),-TableBets[[#This Row],[Stake]],TableBets[[#This Row],[Win]]="Sold",-TableBets[[#This Row],[Stake]]+TableBets[[#This Row],[Sold for]],TRUE,0)</f>
        <v>2.7199999999999998</v>
      </c>
      <c r="N179" s="15"/>
      <c r="O179" s="5"/>
      <c r="R179" s="23">
        <f>TableBets[[#This Row],[Date]]</f>
        <v>44847</v>
      </c>
      <c r="S179" s="15">
        <f>TableBets[[#This Row],[Profit]]+$S178</f>
        <v>-17.10957999999998</v>
      </c>
    </row>
    <row r="180" spans="1:19" x14ac:dyDescent="0.2">
      <c r="A180" s="19">
        <v>44847</v>
      </c>
      <c r="B180" s="7" t="s">
        <v>14</v>
      </c>
      <c r="C180" s="7" t="s">
        <v>336</v>
      </c>
      <c r="D180" s="7" t="s">
        <v>8</v>
      </c>
      <c r="E180" s="7" t="s">
        <v>9</v>
      </c>
      <c r="F180" s="7" t="s">
        <v>337</v>
      </c>
      <c r="G180" s="7" t="s">
        <v>30</v>
      </c>
      <c r="H180" s="7" t="s">
        <v>30</v>
      </c>
      <c r="I180" s="7" t="s">
        <v>338</v>
      </c>
      <c r="J180" s="8">
        <v>4</v>
      </c>
      <c r="K180" s="9">
        <v>2.0720000000000001</v>
      </c>
      <c r="L180" s="7" t="s">
        <v>19</v>
      </c>
      <c r="M180" s="61">
        <f>_xlfn.IFS(TableBets[[#This Row],[Win]]="Won",TableBets[[#This Row],[Stake]]*(TableBets[[#This Row],[Odds]]-1),AND(TableBets[[#This Row],[Win]]="Lost",TableBets[[#This Row],[BB]]&lt;&gt;"Y"),-TableBets[[#This Row],[Stake]],TableBets[[#This Row],[Win]]="Sold",-TableBets[[#This Row],[Stake]]+TableBets[[#This Row],[Sold for]],TRUE,0)</f>
        <v>-4</v>
      </c>
      <c r="N180" s="15"/>
      <c r="O180" s="5"/>
      <c r="R180" s="23">
        <f>TableBets[[#This Row],[Date]]</f>
        <v>44847</v>
      </c>
      <c r="S180" s="15">
        <f>TableBets[[#This Row],[Profit]]+$S179</f>
        <v>-21.10957999999998</v>
      </c>
    </row>
    <row r="181" spans="1:19" x14ac:dyDescent="0.2">
      <c r="A181" s="19">
        <v>44847</v>
      </c>
      <c r="B181" s="7" t="s">
        <v>2</v>
      </c>
      <c r="C181" s="7" t="s">
        <v>331</v>
      </c>
      <c r="D181" s="7" t="s">
        <v>3</v>
      </c>
      <c r="E181" s="7" t="s">
        <v>6</v>
      </c>
      <c r="F181" s="7" t="s">
        <v>339</v>
      </c>
      <c r="G181" s="7" t="s">
        <v>30</v>
      </c>
      <c r="H181" s="7" t="s">
        <v>30</v>
      </c>
      <c r="I181" s="7" t="s">
        <v>35</v>
      </c>
      <c r="J181" s="8">
        <v>4</v>
      </c>
      <c r="K181" s="9">
        <v>1.3560000000000001</v>
      </c>
      <c r="L181" s="7" t="s">
        <v>18</v>
      </c>
      <c r="M181" s="61">
        <f>_xlfn.IFS(TableBets[[#This Row],[Win]]="Won",TableBets[[#This Row],[Stake]]*(TableBets[[#This Row],[Odds]]-1),AND(TableBets[[#This Row],[Win]]="Lost",TableBets[[#This Row],[BB]]&lt;&gt;"Y"),-TableBets[[#This Row],[Stake]],TableBets[[#This Row],[Win]]="Sold",-TableBets[[#This Row],[Stake]]+TableBets[[#This Row],[Sold for]],TRUE,0)</f>
        <v>1.4240000000000004</v>
      </c>
      <c r="N181" s="15"/>
      <c r="O181" s="5"/>
      <c r="R181" s="23">
        <f>TableBets[[#This Row],[Date]]</f>
        <v>44847</v>
      </c>
      <c r="S181" s="15">
        <f>TableBets[[#This Row],[Profit]]+$S180</f>
        <v>-19.68557999999998</v>
      </c>
    </row>
    <row r="182" spans="1:19" x14ac:dyDescent="0.2">
      <c r="A182" s="19">
        <v>44847</v>
      </c>
      <c r="B182" s="7" t="s">
        <v>12</v>
      </c>
      <c r="C182" s="7" t="s">
        <v>340</v>
      </c>
      <c r="D182" s="7" t="s">
        <v>13</v>
      </c>
      <c r="E182" s="7" t="s">
        <v>9</v>
      </c>
      <c r="F182" s="7" t="s">
        <v>341</v>
      </c>
      <c r="G182" s="7" t="s">
        <v>30</v>
      </c>
      <c r="H182" s="7" t="s">
        <v>30</v>
      </c>
      <c r="I182" s="7" t="s">
        <v>342</v>
      </c>
      <c r="J182" s="8">
        <v>4</v>
      </c>
      <c r="K182" s="9">
        <v>1.65</v>
      </c>
      <c r="L182" s="7" t="s">
        <v>19</v>
      </c>
      <c r="M182" s="61">
        <f>_xlfn.IFS(TableBets[[#This Row],[Win]]="Won",TableBets[[#This Row],[Stake]]*(TableBets[[#This Row],[Odds]]-1),AND(TableBets[[#This Row],[Win]]="Lost",TableBets[[#This Row],[BB]]&lt;&gt;"Y"),-TableBets[[#This Row],[Stake]],TableBets[[#This Row],[Win]]="Sold",-TableBets[[#This Row],[Stake]]+TableBets[[#This Row],[Sold for]],TRUE,0)</f>
        <v>-4</v>
      </c>
      <c r="N182" s="15"/>
      <c r="O182" s="5"/>
      <c r="R182" s="23">
        <f>TableBets[[#This Row],[Date]]</f>
        <v>44847</v>
      </c>
      <c r="S182" s="15">
        <f>TableBets[[#This Row],[Profit]]+$S181</f>
        <v>-23.68557999999998</v>
      </c>
    </row>
    <row r="183" spans="1:19" x14ac:dyDescent="0.2">
      <c r="A183" s="19">
        <v>44847</v>
      </c>
      <c r="B183" s="7" t="s">
        <v>2</v>
      </c>
      <c r="C183" s="7" t="s">
        <v>327</v>
      </c>
      <c r="D183" s="7" t="s">
        <v>3</v>
      </c>
      <c r="E183" s="7" t="s">
        <v>6</v>
      </c>
      <c r="F183" s="7" t="s">
        <v>343</v>
      </c>
      <c r="G183" s="7" t="s">
        <v>30</v>
      </c>
      <c r="H183" s="7" t="s">
        <v>30</v>
      </c>
      <c r="I183" s="7" t="s">
        <v>48</v>
      </c>
      <c r="J183" s="8">
        <v>4</v>
      </c>
      <c r="K183" s="9">
        <v>1.768</v>
      </c>
      <c r="L183" s="7" t="s">
        <v>18</v>
      </c>
      <c r="M183" s="61">
        <f>_xlfn.IFS(TableBets[[#This Row],[Win]]="Won",TableBets[[#This Row],[Stake]]*(TableBets[[#This Row],[Odds]]-1),AND(TableBets[[#This Row],[Win]]="Lost",TableBets[[#This Row],[BB]]&lt;&gt;"Y"),-TableBets[[#This Row],[Stake]],TableBets[[#This Row],[Win]]="Sold",-TableBets[[#This Row],[Stake]]+TableBets[[#This Row],[Sold for]],TRUE,0)</f>
        <v>3.0720000000000001</v>
      </c>
      <c r="N183" s="15"/>
      <c r="O183" s="5"/>
      <c r="R183" s="23">
        <f>TableBets[[#This Row],[Date]]</f>
        <v>44847</v>
      </c>
      <c r="S183" s="15">
        <f>TableBets[[#This Row],[Profit]]+$S182</f>
        <v>-20.613579999999981</v>
      </c>
    </row>
    <row r="184" spans="1:19" x14ac:dyDescent="0.2">
      <c r="A184" s="19">
        <v>44847</v>
      </c>
      <c r="B184" s="7" t="s">
        <v>12</v>
      </c>
      <c r="C184" s="7" t="s">
        <v>344</v>
      </c>
      <c r="D184" s="7" t="s">
        <v>3</v>
      </c>
      <c r="E184" s="7" t="s">
        <v>9</v>
      </c>
      <c r="F184" s="7" t="s">
        <v>345</v>
      </c>
      <c r="G184" s="7" t="s">
        <v>30</v>
      </c>
      <c r="H184" s="7" t="s">
        <v>30</v>
      </c>
      <c r="I184" s="7" t="s">
        <v>348</v>
      </c>
      <c r="J184" s="8">
        <v>4</v>
      </c>
      <c r="K184" s="9">
        <v>2.19</v>
      </c>
      <c r="L184" s="7" t="s">
        <v>19</v>
      </c>
      <c r="M184" s="61">
        <f>_xlfn.IFS(TableBets[[#This Row],[Win]]="Won",TableBets[[#This Row],[Stake]]*(TableBets[[#This Row],[Odds]]-1),AND(TableBets[[#This Row],[Win]]="Lost",TableBets[[#This Row],[BB]]&lt;&gt;"Y"),-TableBets[[#This Row],[Stake]],TableBets[[#This Row],[Win]]="Sold",-TableBets[[#This Row],[Stake]]+TableBets[[#This Row],[Sold for]],TRUE,0)</f>
        <v>-4</v>
      </c>
      <c r="N184" s="15"/>
      <c r="O184" s="5"/>
      <c r="R184" s="23">
        <f>TableBets[[#This Row],[Date]]</f>
        <v>44847</v>
      </c>
      <c r="S184" s="15">
        <f>TableBets[[#This Row],[Profit]]+$S183</f>
        <v>-24.613579999999981</v>
      </c>
    </row>
    <row r="185" spans="1:19" x14ac:dyDescent="0.2">
      <c r="A185" s="19">
        <v>44848</v>
      </c>
      <c r="B185" s="7" t="s">
        <v>2</v>
      </c>
      <c r="C185" s="7" t="s">
        <v>121</v>
      </c>
      <c r="D185" s="7" t="s">
        <v>3</v>
      </c>
      <c r="E185" s="7" t="s">
        <v>6</v>
      </c>
      <c r="F185" s="7" t="s">
        <v>361</v>
      </c>
      <c r="G185" s="7" t="s">
        <v>30</v>
      </c>
      <c r="H185" s="7" t="s">
        <v>30</v>
      </c>
      <c r="I185" s="7" t="s">
        <v>48</v>
      </c>
      <c r="J185" s="8">
        <v>4</v>
      </c>
      <c r="K185" s="9">
        <v>1.738</v>
      </c>
      <c r="L185" s="7" t="s">
        <v>19</v>
      </c>
      <c r="M185" s="61">
        <f>_xlfn.IFS(TableBets[[#This Row],[Win]]="Won",TableBets[[#This Row],[Stake]]*(TableBets[[#This Row],[Odds]]-1),AND(TableBets[[#This Row],[Win]]="Lost",TableBets[[#This Row],[BB]]&lt;&gt;"Y"),-TableBets[[#This Row],[Stake]],TableBets[[#This Row],[Win]]="Sold",-TableBets[[#This Row],[Stake]]+TableBets[[#This Row],[Sold for]],TRUE,0)</f>
        <v>-4</v>
      </c>
      <c r="N185" s="15"/>
      <c r="O185" s="5"/>
      <c r="R185" s="23">
        <f>TableBets[[#This Row],[Date]]</f>
        <v>44848</v>
      </c>
      <c r="S185" s="15">
        <f>TableBets[[#This Row],[Profit]]+$S184</f>
        <v>-28.613579999999981</v>
      </c>
    </row>
    <row r="186" spans="1:19" x14ac:dyDescent="0.2">
      <c r="A186" s="19">
        <v>44848</v>
      </c>
      <c r="B186" s="7" t="s">
        <v>2</v>
      </c>
      <c r="C186" s="7" t="s">
        <v>362</v>
      </c>
      <c r="D186" s="7" t="s">
        <v>13</v>
      </c>
      <c r="E186" s="7" t="s">
        <v>6</v>
      </c>
      <c r="F186" s="7" t="s">
        <v>363</v>
      </c>
      <c r="G186" s="7" t="s">
        <v>32</v>
      </c>
      <c r="H186" s="7" t="s">
        <v>30</v>
      </c>
      <c r="I186" s="7" t="s">
        <v>180</v>
      </c>
      <c r="J186" s="8">
        <v>4</v>
      </c>
      <c r="K186" s="9">
        <v>1.58</v>
      </c>
      <c r="L186" s="7" t="s">
        <v>18</v>
      </c>
      <c r="M186" s="61">
        <f>_xlfn.IFS(TableBets[[#This Row],[Win]]="Won",TableBets[[#This Row],[Stake]]*(TableBets[[#This Row],[Odds]]-1),AND(TableBets[[#This Row],[Win]]="Lost",TableBets[[#This Row],[BB]]&lt;&gt;"Y"),-TableBets[[#This Row],[Stake]],TableBets[[#This Row],[Win]]="Sold",-TableBets[[#This Row],[Stake]]+TableBets[[#This Row],[Sold for]],TRUE,0)</f>
        <v>2.3200000000000003</v>
      </c>
      <c r="N186" s="15"/>
      <c r="O186" s="5"/>
      <c r="R186" s="23">
        <f>TableBets[[#This Row],[Date]]</f>
        <v>44848</v>
      </c>
      <c r="S186" s="15">
        <f>TableBets[[#This Row],[Profit]]+$S185</f>
        <v>-26.293579999999981</v>
      </c>
    </row>
    <row r="187" spans="1:19" x14ac:dyDescent="0.2">
      <c r="A187" s="19">
        <v>44848</v>
      </c>
      <c r="B187" s="7" t="s">
        <v>2</v>
      </c>
      <c r="C187" s="7" t="s">
        <v>364</v>
      </c>
      <c r="D187" s="7" t="s">
        <v>3</v>
      </c>
      <c r="E187" s="7" t="s">
        <v>6</v>
      </c>
      <c r="F187" s="7" t="s">
        <v>365</v>
      </c>
      <c r="G187" s="7" t="s">
        <v>30</v>
      </c>
      <c r="H187" s="7" t="s">
        <v>30</v>
      </c>
      <c r="I187" s="7" t="s">
        <v>161</v>
      </c>
      <c r="J187" s="8">
        <v>4</v>
      </c>
      <c r="K187" s="9">
        <v>1.69</v>
      </c>
      <c r="L187" s="7" t="s">
        <v>18</v>
      </c>
      <c r="M187" s="61">
        <f>_xlfn.IFS(TableBets[[#This Row],[Win]]="Won",TableBets[[#This Row],[Stake]]*(TableBets[[#This Row],[Odds]]-1),AND(TableBets[[#This Row],[Win]]="Lost",TableBets[[#This Row],[BB]]&lt;&gt;"Y"),-TableBets[[#This Row],[Stake]],TableBets[[#This Row],[Win]]="Sold",-TableBets[[#This Row],[Stake]]+TableBets[[#This Row],[Sold for]],TRUE,0)</f>
        <v>2.76</v>
      </c>
      <c r="N187" s="15"/>
      <c r="O187" s="5"/>
      <c r="R187" s="23">
        <f>TableBets[[#This Row],[Date]]</f>
        <v>44848</v>
      </c>
      <c r="S187" s="15">
        <f>TableBets[[#This Row],[Profit]]+$S186</f>
        <v>-23.533579999999979</v>
      </c>
    </row>
    <row r="188" spans="1:19" x14ac:dyDescent="0.2">
      <c r="A188" s="19">
        <v>44848</v>
      </c>
      <c r="B188" s="7" t="s">
        <v>2</v>
      </c>
      <c r="C188" s="7" t="s">
        <v>375</v>
      </c>
      <c r="D188" s="7" t="s">
        <v>11</v>
      </c>
      <c r="E188" s="7" t="s">
        <v>6</v>
      </c>
      <c r="F188" s="7" t="s">
        <v>376</v>
      </c>
      <c r="G188" s="7" t="s">
        <v>30</v>
      </c>
      <c r="H188" s="7" t="s">
        <v>30</v>
      </c>
      <c r="I188" s="7" t="s">
        <v>35</v>
      </c>
      <c r="J188" s="8">
        <v>4</v>
      </c>
      <c r="K188" s="9">
        <v>1.47</v>
      </c>
      <c r="L188" s="7" t="s">
        <v>19</v>
      </c>
      <c r="M188" s="61">
        <f>_xlfn.IFS(TableBets[[#This Row],[Win]]="Won",TableBets[[#This Row],[Stake]]*(TableBets[[#This Row],[Odds]]-1),AND(TableBets[[#This Row],[Win]]="Lost",TableBets[[#This Row],[BB]]&lt;&gt;"Y"),-TableBets[[#This Row],[Stake]],TableBets[[#This Row],[Win]]="Sold",-TableBets[[#This Row],[Stake]]+TableBets[[#This Row],[Sold for]],TRUE,0)</f>
        <v>-4</v>
      </c>
      <c r="N188" s="15"/>
      <c r="O188" s="5"/>
      <c r="R188" s="23">
        <f>TableBets[[#This Row],[Date]]</f>
        <v>44848</v>
      </c>
      <c r="S188" s="15">
        <f>TableBets[[#This Row],[Profit]]+$S187</f>
        <v>-27.533579999999979</v>
      </c>
    </row>
    <row r="189" spans="1:19" x14ac:dyDescent="0.2">
      <c r="A189" s="19">
        <v>44848</v>
      </c>
      <c r="B189" s="7" t="s">
        <v>2</v>
      </c>
      <c r="C189" s="7" t="s">
        <v>327</v>
      </c>
      <c r="D189" s="7" t="s">
        <v>3</v>
      </c>
      <c r="E189" s="7" t="s">
        <v>6</v>
      </c>
      <c r="F189" s="7" t="s">
        <v>377</v>
      </c>
      <c r="G189" s="7" t="s">
        <v>30</v>
      </c>
      <c r="H189" s="7" t="s">
        <v>30</v>
      </c>
      <c r="I189" s="7" t="s">
        <v>38</v>
      </c>
      <c r="J189" s="8">
        <v>4</v>
      </c>
      <c r="K189" s="9">
        <v>1.736</v>
      </c>
      <c r="L189" s="7" t="s">
        <v>18</v>
      </c>
      <c r="M189" s="61">
        <f>_xlfn.IFS(TableBets[[#This Row],[Win]]="Won",TableBets[[#This Row],[Stake]]*(TableBets[[#This Row],[Odds]]-1),AND(TableBets[[#This Row],[Win]]="Lost",TableBets[[#This Row],[BB]]&lt;&gt;"Y"),-TableBets[[#This Row],[Stake]],TableBets[[#This Row],[Win]]="Sold",-TableBets[[#This Row],[Stake]]+TableBets[[#This Row],[Sold for]],TRUE,0)</f>
        <v>2.944</v>
      </c>
      <c r="N189" s="15"/>
      <c r="O189" s="5"/>
      <c r="R189" s="23">
        <f>TableBets[[#This Row],[Date]]</f>
        <v>44848</v>
      </c>
      <c r="S189" s="15">
        <f>TableBets[[#This Row],[Profit]]+$S188</f>
        <v>-24.58957999999998</v>
      </c>
    </row>
    <row r="190" spans="1:19" x14ac:dyDescent="0.2">
      <c r="A190" s="19">
        <v>44848</v>
      </c>
      <c r="B190" s="7" t="s">
        <v>2</v>
      </c>
      <c r="C190" s="7" t="s">
        <v>378</v>
      </c>
      <c r="D190" s="7" t="s">
        <v>3</v>
      </c>
      <c r="E190" s="7" t="s">
        <v>6</v>
      </c>
      <c r="F190" s="7" t="s">
        <v>379</v>
      </c>
      <c r="G190" s="7" t="s">
        <v>32</v>
      </c>
      <c r="H190" s="7" t="s">
        <v>30</v>
      </c>
      <c r="I190" s="7" t="s">
        <v>65</v>
      </c>
      <c r="J190" s="8">
        <v>4</v>
      </c>
      <c r="K190" s="9">
        <v>1.38</v>
      </c>
      <c r="L190" s="7" t="s">
        <v>18</v>
      </c>
      <c r="M190" s="61">
        <f>_xlfn.IFS(TableBets[[#This Row],[Win]]="Won",TableBets[[#This Row],[Stake]]*(TableBets[[#This Row],[Odds]]-1),AND(TableBets[[#This Row],[Win]]="Lost",TableBets[[#This Row],[BB]]&lt;&gt;"Y"),-TableBets[[#This Row],[Stake]],TableBets[[#This Row],[Win]]="Sold",-TableBets[[#This Row],[Stake]]+TableBets[[#This Row],[Sold for]],TRUE,0)</f>
        <v>1.5199999999999996</v>
      </c>
      <c r="N190" s="15"/>
      <c r="O190" s="5"/>
      <c r="R190" s="23">
        <f>TableBets[[#This Row],[Date]]</f>
        <v>44848</v>
      </c>
      <c r="S190" s="15">
        <f>TableBets[[#This Row],[Profit]]+$S189</f>
        <v>-23.069579999999981</v>
      </c>
    </row>
    <row r="191" spans="1:19" x14ac:dyDescent="0.2">
      <c r="A191" s="19">
        <v>44848</v>
      </c>
      <c r="B191" s="7" t="s">
        <v>2</v>
      </c>
      <c r="C191" s="7" t="s">
        <v>378</v>
      </c>
      <c r="D191" s="7" t="s">
        <v>3</v>
      </c>
      <c r="E191" s="7" t="s">
        <v>6</v>
      </c>
      <c r="F191" s="7" t="s">
        <v>383</v>
      </c>
      <c r="G191" s="7" t="s">
        <v>32</v>
      </c>
      <c r="H191" s="7" t="s">
        <v>30</v>
      </c>
      <c r="I191" s="7" t="s">
        <v>56</v>
      </c>
      <c r="J191" s="8">
        <v>4</v>
      </c>
      <c r="K191" s="9">
        <v>1.56</v>
      </c>
      <c r="L191" s="7" t="s">
        <v>18</v>
      </c>
      <c r="M191" s="61">
        <f>_xlfn.IFS(TableBets[[#This Row],[Win]]="Won",TableBets[[#This Row],[Stake]]*(TableBets[[#This Row],[Odds]]-1),AND(TableBets[[#This Row],[Win]]="Lost",TableBets[[#This Row],[BB]]&lt;&gt;"Y"),-TableBets[[#This Row],[Stake]],TableBets[[#This Row],[Win]]="Sold",-TableBets[[#This Row],[Stake]]+TableBets[[#This Row],[Sold for]],TRUE,0)</f>
        <v>2.2400000000000002</v>
      </c>
      <c r="N191" s="15"/>
      <c r="O191" s="5"/>
      <c r="R191" s="23">
        <f>TableBets[[#This Row],[Date]]</f>
        <v>44848</v>
      </c>
      <c r="S191" s="15">
        <f>TableBets[[#This Row],[Profit]]+$S190</f>
        <v>-20.829579999999979</v>
      </c>
    </row>
    <row r="192" spans="1:19" x14ac:dyDescent="0.2">
      <c r="A192" s="19">
        <v>44848</v>
      </c>
      <c r="B192" s="7" t="s">
        <v>2</v>
      </c>
      <c r="C192" s="7" t="s">
        <v>95</v>
      </c>
      <c r="D192" s="7" t="s">
        <v>3</v>
      </c>
      <c r="E192" s="7" t="s">
        <v>6</v>
      </c>
      <c r="F192" s="7" t="s">
        <v>384</v>
      </c>
      <c r="G192" s="7" t="s">
        <v>30</v>
      </c>
      <c r="H192" s="7" t="s">
        <v>30</v>
      </c>
      <c r="I192" s="7" t="s">
        <v>48</v>
      </c>
      <c r="J192" s="8">
        <v>4</v>
      </c>
      <c r="K192" s="9">
        <v>1.7</v>
      </c>
      <c r="L192" s="7" t="s">
        <v>18</v>
      </c>
      <c r="M192" s="61">
        <f>_xlfn.IFS(TableBets[[#This Row],[Win]]="Won",TableBets[[#This Row],[Stake]]*(TableBets[[#This Row],[Odds]]-1),AND(TableBets[[#This Row],[Win]]="Lost",TableBets[[#This Row],[BB]]&lt;&gt;"Y"),-TableBets[[#This Row],[Stake]],TableBets[[#This Row],[Win]]="Sold",-TableBets[[#This Row],[Stake]]+TableBets[[#This Row],[Sold for]],TRUE,0)</f>
        <v>2.8</v>
      </c>
      <c r="N192" s="15"/>
      <c r="O192" s="5"/>
      <c r="R192" s="23">
        <f>TableBets[[#This Row],[Date]]</f>
        <v>44848</v>
      </c>
      <c r="S192" s="15">
        <f>TableBets[[#This Row],[Profit]]+$S191</f>
        <v>-18.029579999999978</v>
      </c>
    </row>
    <row r="193" spans="1:19" x14ac:dyDescent="0.2">
      <c r="A193" s="19">
        <v>44848</v>
      </c>
      <c r="B193" s="7" t="s">
        <v>2</v>
      </c>
      <c r="C193" s="7" t="s">
        <v>385</v>
      </c>
      <c r="D193" s="7" t="s">
        <v>3</v>
      </c>
      <c r="E193" s="7" t="s">
        <v>6</v>
      </c>
      <c r="F193" s="7" t="s">
        <v>386</v>
      </c>
      <c r="G193" s="7" t="s">
        <v>30</v>
      </c>
      <c r="H193" s="7" t="s">
        <v>30</v>
      </c>
      <c r="I193" s="7" t="s">
        <v>48</v>
      </c>
      <c r="J193" s="8">
        <v>4</v>
      </c>
      <c r="K193" s="9">
        <v>1.524</v>
      </c>
      <c r="L193" s="7" t="s">
        <v>18</v>
      </c>
      <c r="M193" s="61">
        <f>_xlfn.IFS(TableBets[[#This Row],[Win]]="Won",TableBets[[#This Row],[Stake]]*(TableBets[[#This Row],[Odds]]-1),AND(TableBets[[#This Row],[Win]]="Lost",TableBets[[#This Row],[BB]]&lt;&gt;"Y"),-TableBets[[#This Row],[Stake]],TableBets[[#This Row],[Win]]="Sold",-TableBets[[#This Row],[Stake]]+TableBets[[#This Row],[Sold for]],TRUE,0)</f>
        <v>2.0960000000000001</v>
      </c>
      <c r="N193" s="15"/>
      <c r="O193" s="5"/>
      <c r="R193" s="23">
        <f>TableBets[[#This Row],[Date]]</f>
        <v>44848</v>
      </c>
      <c r="S193" s="15">
        <f>TableBets[[#This Row],[Profit]]+$S192</f>
        <v>-15.933579999999978</v>
      </c>
    </row>
    <row r="194" spans="1:19" x14ac:dyDescent="0.2">
      <c r="A194" s="19">
        <v>44848</v>
      </c>
      <c r="B194" s="7" t="s">
        <v>2</v>
      </c>
      <c r="C194" s="7" t="s">
        <v>78</v>
      </c>
      <c r="D194" s="7" t="s">
        <v>3</v>
      </c>
      <c r="E194" s="7" t="s">
        <v>6</v>
      </c>
      <c r="F194" s="7" t="s">
        <v>387</v>
      </c>
      <c r="G194" s="7" t="s">
        <v>32</v>
      </c>
      <c r="H194" s="7" t="s">
        <v>30</v>
      </c>
      <c r="I194" s="7" t="s">
        <v>180</v>
      </c>
      <c r="J194" s="8">
        <v>4</v>
      </c>
      <c r="K194" s="9">
        <v>1.58</v>
      </c>
      <c r="L194" s="7" t="s">
        <v>18</v>
      </c>
      <c r="M194" s="61">
        <f>_xlfn.IFS(TableBets[[#This Row],[Win]]="Won",TableBets[[#This Row],[Stake]]*(TableBets[[#This Row],[Odds]]-1),AND(TableBets[[#This Row],[Win]]="Lost",TableBets[[#This Row],[BB]]&lt;&gt;"Y"),-TableBets[[#This Row],[Stake]],TableBets[[#This Row],[Win]]="Sold",-TableBets[[#This Row],[Stake]]+TableBets[[#This Row],[Sold for]],TRUE,0)</f>
        <v>2.3200000000000003</v>
      </c>
      <c r="N194" s="15"/>
      <c r="O194" s="5"/>
      <c r="R194" s="23">
        <f>TableBets[[#This Row],[Date]]</f>
        <v>44848</v>
      </c>
      <c r="S194" s="15">
        <f>TableBets[[#This Row],[Profit]]+$S193</f>
        <v>-13.613579999999978</v>
      </c>
    </row>
    <row r="195" spans="1:19" x14ac:dyDescent="0.2">
      <c r="A195" s="19">
        <v>44848</v>
      </c>
      <c r="B195" s="7" t="s">
        <v>2</v>
      </c>
      <c r="C195" s="7" t="s">
        <v>378</v>
      </c>
      <c r="D195" s="7" t="s">
        <v>3</v>
      </c>
      <c r="E195" s="7" t="s">
        <v>6</v>
      </c>
      <c r="F195" s="7" t="s">
        <v>379</v>
      </c>
      <c r="G195" s="7" t="s">
        <v>32</v>
      </c>
      <c r="H195" s="7" t="s">
        <v>30</v>
      </c>
      <c r="I195" s="7" t="s">
        <v>65</v>
      </c>
      <c r="J195" s="8">
        <v>4</v>
      </c>
      <c r="K195" s="9">
        <v>1.5</v>
      </c>
      <c r="L195" s="7" t="s">
        <v>18</v>
      </c>
      <c r="M195" s="61">
        <f>_xlfn.IFS(TableBets[[#This Row],[Win]]="Won",TableBets[[#This Row],[Stake]]*(TableBets[[#This Row],[Odds]]-1),AND(TableBets[[#This Row],[Win]]="Lost",TableBets[[#This Row],[BB]]&lt;&gt;"Y"),-TableBets[[#This Row],[Stake]],TableBets[[#This Row],[Win]]="Sold",-TableBets[[#This Row],[Stake]]+TableBets[[#This Row],[Sold for]],TRUE,0)</f>
        <v>2</v>
      </c>
      <c r="N195" s="15"/>
      <c r="O195" s="5"/>
      <c r="R195" s="23">
        <f>TableBets[[#This Row],[Date]]</f>
        <v>44848</v>
      </c>
      <c r="S195" s="15">
        <f>TableBets[[#This Row],[Profit]]+$S194</f>
        <v>-11.613579999999978</v>
      </c>
    </row>
    <row r="196" spans="1:19" x14ac:dyDescent="0.2">
      <c r="A196" s="19">
        <v>44848</v>
      </c>
      <c r="B196" s="7" t="s">
        <v>2</v>
      </c>
      <c r="C196" s="7" t="s">
        <v>331</v>
      </c>
      <c r="D196" s="7" t="s">
        <v>3</v>
      </c>
      <c r="E196" s="7" t="s">
        <v>6</v>
      </c>
      <c r="F196" s="7" t="s">
        <v>388</v>
      </c>
      <c r="G196" s="7" t="s">
        <v>32</v>
      </c>
      <c r="H196" s="7" t="s">
        <v>30</v>
      </c>
      <c r="I196" s="7" t="s">
        <v>65</v>
      </c>
      <c r="J196" s="8">
        <v>4</v>
      </c>
      <c r="K196" s="9">
        <v>2.12</v>
      </c>
      <c r="L196" s="7" t="s">
        <v>18</v>
      </c>
      <c r="M196" s="61">
        <f>_xlfn.IFS(TableBets[[#This Row],[Win]]="Won",TableBets[[#This Row],[Stake]]*(TableBets[[#This Row],[Odds]]-1),AND(TableBets[[#This Row],[Win]]="Lost",TableBets[[#This Row],[BB]]&lt;&gt;"Y"),-TableBets[[#This Row],[Stake]],TableBets[[#This Row],[Win]]="Sold",-TableBets[[#This Row],[Stake]]+TableBets[[#This Row],[Sold for]],TRUE,0)</f>
        <v>4.4800000000000004</v>
      </c>
      <c r="N196" s="15"/>
      <c r="O196" s="5"/>
      <c r="R196" s="23">
        <f>TableBets[[#This Row],[Date]]</f>
        <v>44848</v>
      </c>
      <c r="S196" s="15">
        <f>TableBets[[#This Row],[Profit]]+$S195</f>
        <v>-7.1335799999999772</v>
      </c>
    </row>
    <row r="197" spans="1:19" x14ac:dyDescent="0.2">
      <c r="A197" s="19">
        <v>44848</v>
      </c>
      <c r="B197" s="7" t="s">
        <v>4</v>
      </c>
      <c r="C197" s="7" t="s">
        <v>225</v>
      </c>
      <c r="D197" s="7" t="s">
        <v>3</v>
      </c>
      <c r="E197" s="7" t="s">
        <v>6</v>
      </c>
      <c r="F197" s="7" t="s">
        <v>389</v>
      </c>
      <c r="G197" s="7" t="s">
        <v>30</v>
      </c>
      <c r="H197" s="7" t="s">
        <v>30</v>
      </c>
      <c r="I197" s="7" t="s">
        <v>390</v>
      </c>
      <c r="J197" s="8">
        <v>8</v>
      </c>
      <c r="K197" s="9">
        <v>1.38</v>
      </c>
      <c r="L197" s="7" t="s">
        <v>19</v>
      </c>
      <c r="M197" s="61">
        <f>_xlfn.IFS(TableBets[[#This Row],[Win]]="Won",TableBets[[#This Row],[Stake]]*(TableBets[[#This Row],[Odds]]-1),AND(TableBets[[#This Row],[Win]]="Lost",TableBets[[#This Row],[BB]]&lt;&gt;"Y"),-TableBets[[#This Row],[Stake]],TableBets[[#This Row],[Win]]="Sold",-TableBets[[#This Row],[Stake]]+TableBets[[#This Row],[Sold for]],TRUE,0)</f>
        <v>-8</v>
      </c>
      <c r="N197" s="15"/>
      <c r="O197" s="5"/>
      <c r="R197" s="23">
        <f>TableBets[[#This Row],[Date]]</f>
        <v>44848</v>
      </c>
      <c r="S197" s="15">
        <f>TableBets[[#This Row],[Profit]]+$S196</f>
        <v>-15.133579999999977</v>
      </c>
    </row>
    <row r="198" spans="1:19" x14ac:dyDescent="0.2">
      <c r="A198" s="19">
        <v>44849</v>
      </c>
      <c r="B198" s="7" t="s">
        <v>2</v>
      </c>
      <c r="C198" s="7" t="s">
        <v>291</v>
      </c>
      <c r="D198" s="7" t="s">
        <v>3</v>
      </c>
      <c r="E198" s="7" t="s">
        <v>6</v>
      </c>
      <c r="F198" s="7" t="s">
        <v>391</v>
      </c>
      <c r="G198" s="7" t="s">
        <v>30</v>
      </c>
      <c r="H198" s="7" t="s">
        <v>30</v>
      </c>
      <c r="I198" s="7" t="s">
        <v>48</v>
      </c>
      <c r="J198" s="8">
        <v>4</v>
      </c>
      <c r="K198" s="9">
        <v>1.3</v>
      </c>
      <c r="L198" s="7" t="s">
        <v>19</v>
      </c>
      <c r="M198" s="61">
        <f>_xlfn.IFS(TableBets[[#This Row],[Win]]="Won",TableBets[[#This Row],[Stake]]*(TableBets[[#This Row],[Odds]]-1),AND(TableBets[[#This Row],[Win]]="Lost",TableBets[[#This Row],[BB]]&lt;&gt;"Y"),-TableBets[[#This Row],[Stake]],TableBets[[#This Row],[Win]]="Sold",-TableBets[[#This Row],[Stake]]+TableBets[[#This Row],[Sold for]],TRUE,0)</f>
        <v>-4</v>
      </c>
      <c r="N198" s="15"/>
      <c r="O198" s="5"/>
      <c r="R198" s="23">
        <f>TableBets[[#This Row],[Date]]</f>
        <v>44849</v>
      </c>
      <c r="S198" s="15">
        <f>TableBets[[#This Row],[Profit]]+$S197</f>
        <v>-19.133579999999977</v>
      </c>
    </row>
    <row r="199" spans="1:19" x14ac:dyDescent="0.2">
      <c r="A199" s="19">
        <v>44849</v>
      </c>
      <c r="B199" s="7" t="s">
        <v>2</v>
      </c>
      <c r="C199" s="7" t="s">
        <v>392</v>
      </c>
      <c r="D199" s="7" t="s">
        <v>11</v>
      </c>
      <c r="E199" s="7" t="s">
        <v>6</v>
      </c>
      <c r="F199" s="7" t="s">
        <v>391</v>
      </c>
      <c r="G199" s="7" t="s">
        <v>30</v>
      </c>
      <c r="H199" s="7" t="s">
        <v>30</v>
      </c>
      <c r="I199" s="7" t="s">
        <v>48</v>
      </c>
      <c r="J199" s="8">
        <v>2</v>
      </c>
      <c r="K199" s="9">
        <v>1.96</v>
      </c>
      <c r="L199" s="7" t="s">
        <v>19</v>
      </c>
      <c r="M199" s="61">
        <f>_xlfn.IFS(TableBets[[#This Row],[Win]]="Won",TableBets[[#This Row],[Stake]]*(TableBets[[#This Row],[Odds]]-1),AND(TableBets[[#This Row],[Win]]="Lost",TableBets[[#This Row],[BB]]&lt;&gt;"Y"),-TableBets[[#This Row],[Stake]],TableBets[[#This Row],[Win]]="Sold",-TableBets[[#This Row],[Stake]]+TableBets[[#This Row],[Sold for]],TRUE,0)</f>
        <v>-2</v>
      </c>
      <c r="N199" s="15"/>
      <c r="O199" s="5"/>
      <c r="R199" s="23">
        <f>TableBets[[#This Row],[Date]]</f>
        <v>44849</v>
      </c>
      <c r="S199" s="15">
        <f>TableBets[[#This Row],[Profit]]+$S198</f>
        <v>-21.133579999999977</v>
      </c>
    </row>
    <row r="200" spans="1:19" x14ac:dyDescent="0.2">
      <c r="A200" s="19">
        <v>44849</v>
      </c>
      <c r="B200" s="7" t="s">
        <v>2</v>
      </c>
      <c r="C200" s="7" t="s">
        <v>252</v>
      </c>
      <c r="D200" s="7" t="s">
        <v>3</v>
      </c>
      <c r="E200" s="7" t="s">
        <v>6</v>
      </c>
      <c r="F200" s="7" t="s">
        <v>377</v>
      </c>
      <c r="G200" s="7" t="s">
        <v>30</v>
      </c>
      <c r="H200" s="7" t="s">
        <v>30</v>
      </c>
      <c r="I200" s="7" t="s">
        <v>38</v>
      </c>
      <c r="J200" s="8">
        <v>4</v>
      </c>
      <c r="K200" s="9">
        <v>1.53</v>
      </c>
      <c r="L200" s="7" t="s">
        <v>18</v>
      </c>
      <c r="M200" s="61">
        <f>_xlfn.IFS(TableBets[[#This Row],[Win]]="Won",TableBets[[#This Row],[Stake]]*(TableBets[[#This Row],[Odds]]-1),AND(TableBets[[#This Row],[Win]]="Lost",TableBets[[#This Row],[BB]]&lt;&gt;"Y"),-TableBets[[#This Row],[Stake]],TableBets[[#This Row],[Win]]="Sold",-TableBets[[#This Row],[Stake]]+TableBets[[#This Row],[Sold for]],TRUE,0)</f>
        <v>2.12</v>
      </c>
      <c r="N200" s="15"/>
      <c r="O200" s="5"/>
      <c r="R200" s="23">
        <f>TableBets[[#This Row],[Date]]</f>
        <v>44849</v>
      </c>
      <c r="S200" s="15">
        <f>TableBets[[#This Row],[Profit]]+$S199</f>
        <v>-19.013579999999976</v>
      </c>
    </row>
    <row r="201" spans="1:19" x14ac:dyDescent="0.2">
      <c r="A201" s="19">
        <v>44849</v>
      </c>
      <c r="B201" s="7" t="s">
        <v>2</v>
      </c>
      <c r="C201" s="7" t="s">
        <v>103</v>
      </c>
      <c r="D201" s="7" t="s">
        <v>3</v>
      </c>
      <c r="E201" s="7" t="s">
        <v>6</v>
      </c>
      <c r="F201" s="7" t="s">
        <v>396</v>
      </c>
      <c r="G201" s="7" t="s">
        <v>32</v>
      </c>
      <c r="H201" s="7" t="s">
        <v>30</v>
      </c>
      <c r="I201" s="7" t="s">
        <v>112</v>
      </c>
      <c r="J201" s="8">
        <v>4</v>
      </c>
      <c r="K201" s="9">
        <v>1.52</v>
      </c>
      <c r="L201" s="7" t="s">
        <v>18</v>
      </c>
      <c r="M201" s="61">
        <f>_xlfn.IFS(TableBets[[#This Row],[Win]]="Won",TableBets[[#This Row],[Stake]]*(TableBets[[#This Row],[Odds]]-1),AND(TableBets[[#This Row],[Win]]="Lost",TableBets[[#This Row],[BB]]&lt;&gt;"Y"),-TableBets[[#This Row],[Stake]],TableBets[[#This Row],[Win]]="Sold",-TableBets[[#This Row],[Stake]]+TableBets[[#This Row],[Sold for]],TRUE,0)</f>
        <v>2.08</v>
      </c>
      <c r="N201" s="15"/>
      <c r="R201" s="23">
        <f>TableBets[[#This Row],[Date]]</f>
        <v>44849</v>
      </c>
      <c r="S201" s="15">
        <f>TableBets[[#This Row],[Profit]]+$S200</f>
        <v>-16.933579999999978</v>
      </c>
    </row>
    <row r="202" spans="1:19" x14ac:dyDescent="0.2">
      <c r="A202" s="19">
        <v>44849</v>
      </c>
      <c r="B202" s="7" t="s">
        <v>2</v>
      </c>
      <c r="C202" s="7" t="s">
        <v>397</v>
      </c>
      <c r="D202" s="7" t="s">
        <v>3</v>
      </c>
      <c r="E202" s="7" t="s">
        <v>6</v>
      </c>
      <c r="F202" s="7" t="s">
        <v>398</v>
      </c>
      <c r="G202" s="7" t="s">
        <v>32</v>
      </c>
      <c r="H202" s="7" t="s">
        <v>30</v>
      </c>
      <c r="I202" s="7" t="s">
        <v>161</v>
      </c>
      <c r="J202" s="8">
        <v>4</v>
      </c>
      <c r="K202" s="9">
        <v>1.69</v>
      </c>
      <c r="L202" s="7" t="s">
        <v>18</v>
      </c>
      <c r="M202" s="61">
        <f>_xlfn.IFS(TableBets[[#This Row],[Win]]="Won",TableBets[[#This Row],[Stake]]*(TableBets[[#This Row],[Odds]]-1),AND(TableBets[[#This Row],[Win]]="Lost",TableBets[[#This Row],[BB]]&lt;&gt;"Y"),-TableBets[[#This Row],[Stake]],TableBets[[#This Row],[Win]]="Sold",-TableBets[[#This Row],[Stake]]+TableBets[[#This Row],[Sold for]],TRUE,0)</f>
        <v>2.76</v>
      </c>
      <c r="N202" s="15"/>
      <c r="R202" s="23">
        <f>TableBets[[#This Row],[Date]]</f>
        <v>44849</v>
      </c>
      <c r="S202" s="15">
        <f>TableBets[[#This Row],[Profit]]+$S201</f>
        <v>-14.173579999999978</v>
      </c>
    </row>
    <row r="203" spans="1:19" x14ac:dyDescent="0.2">
      <c r="A203" s="19">
        <v>44849</v>
      </c>
      <c r="B203" s="7" t="s">
        <v>2</v>
      </c>
      <c r="C203" s="7" t="s">
        <v>399</v>
      </c>
      <c r="D203" s="7" t="s">
        <v>3</v>
      </c>
      <c r="E203" s="7" t="s">
        <v>6</v>
      </c>
      <c r="F203" s="7" t="s">
        <v>400</v>
      </c>
      <c r="G203" s="7" t="s">
        <v>32</v>
      </c>
      <c r="H203" s="7" t="s">
        <v>30</v>
      </c>
      <c r="I203" s="7" t="s">
        <v>91</v>
      </c>
      <c r="J203" s="8">
        <v>4</v>
      </c>
      <c r="K203" s="9">
        <v>1.48</v>
      </c>
      <c r="L203" s="7" t="s">
        <v>18</v>
      </c>
      <c r="M203" s="61">
        <f>_xlfn.IFS(TableBets[[#This Row],[Win]]="Won",TableBets[[#This Row],[Stake]]*(TableBets[[#This Row],[Odds]]-1),AND(TableBets[[#This Row],[Win]]="Lost",TableBets[[#This Row],[BB]]&lt;&gt;"Y"),-TableBets[[#This Row],[Stake]],TableBets[[#This Row],[Win]]="Sold",-TableBets[[#This Row],[Stake]]+TableBets[[#This Row],[Sold for]],TRUE,0)</f>
        <v>1.92</v>
      </c>
      <c r="N203" s="15"/>
      <c r="R203" s="23">
        <f>TableBets[[#This Row],[Date]]</f>
        <v>44849</v>
      </c>
      <c r="S203" s="15">
        <f>TableBets[[#This Row],[Profit]]+$S202</f>
        <v>-12.253579999999978</v>
      </c>
    </row>
    <row r="204" spans="1:19" x14ac:dyDescent="0.2">
      <c r="A204" s="19">
        <v>44849</v>
      </c>
      <c r="B204" s="7" t="s">
        <v>2</v>
      </c>
      <c r="C204" s="7" t="s">
        <v>333</v>
      </c>
      <c r="D204" s="7" t="s">
        <v>3</v>
      </c>
      <c r="E204" s="7" t="s">
        <v>6</v>
      </c>
      <c r="F204" s="7" t="s">
        <v>401</v>
      </c>
      <c r="G204" s="7" t="s">
        <v>32</v>
      </c>
      <c r="H204" s="7" t="s">
        <v>30</v>
      </c>
      <c r="I204" s="7" t="s">
        <v>77</v>
      </c>
      <c r="J204" s="8">
        <v>4</v>
      </c>
      <c r="K204" s="9">
        <v>1.7</v>
      </c>
      <c r="L204" s="7" t="s">
        <v>18</v>
      </c>
      <c r="M204" s="61">
        <f>_xlfn.IFS(TableBets[[#This Row],[Win]]="Won",TableBets[[#This Row],[Stake]]*(TableBets[[#This Row],[Odds]]-1),AND(TableBets[[#This Row],[Win]]="Lost",TableBets[[#This Row],[BB]]&lt;&gt;"Y"),-TableBets[[#This Row],[Stake]],TableBets[[#This Row],[Win]]="Sold",-TableBets[[#This Row],[Stake]]+TableBets[[#This Row],[Sold for]],TRUE,0)</f>
        <v>2.8</v>
      </c>
      <c r="N204" s="15"/>
      <c r="R204" s="23">
        <f>TableBets[[#This Row],[Date]]</f>
        <v>44849</v>
      </c>
      <c r="S204" s="15">
        <f>TableBets[[#This Row],[Profit]]+$S203</f>
        <v>-9.4535799999999774</v>
      </c>
    </row>
    <row r="205" spans="1:19" x14ac:dyDescent="0.2">
      <c r="A205" s="19">
        <v>44849</v>
      </c>
      <c r="B205" s="7" t="s">
        <v>2</v>
      </c>
      <c r="C205" s="7" t="s">
        <v>402</v>
      </c>
      <c r="D205" s="7" t="s">
        <v>3</v>
      </c>
      <c r="E205" s="7" t="s">
        <v>6</v>
      </c>
      <c r="F205" s="7" t="s">
        <v>406</v>
      </c>
      <c r="G205" s="7" t="s">
        <v>32</v>
      </c>
      <c r="H205" s="7" t="s">
        <v>30</v>
      </c>
      <c r="I205" s="7" t="s">
        <v>115</v>
      </c>
      <c r="J205" s="8">
        <v>4</v>
      </c>
      <c r="K205" s="9">
        <v>2.7</v>
      </c>
      <c r="L205" s="7" t="s">
        <v>18</v>
      </c>
      <c r="M205" s="61">
        <f>_xlfn.IFS(TableBets[[#This Row],[Win]]="Won",TableBets[[#This Row],[Stake]]*(TableBets[[#This Row],[Odds]]-1),AND(TableBets[[#This Row],[Win]]="Lost",TableBets[[#This Row],[BB]]&lt;&gt;"Y"),-TableBets[[#This Row],[Stake]],TableBets[[#This Row],[Win]]="Sold",-TableBets[[#This Row],[Stake]]+TableBets[[#This Row],[Sold for]],TRUE,0)</f>
        <v>6.8000000000000007</v>
      </c>
      <c r="N205" s="15"/>
      <c r="R205" s="23">
        <f>TableBets[[#This Row],[Date]]</f>
        <v>44849</v>
      </c>
      <c r="S205" s="15">
        <f>TableBets[[#This Row],[Profit]]+$S204</f>
        <v>-2.6535799999999767</v>
      </c>
    </row>
    <row r="206" spans="1:19" x14ac:dyDescent="0.2">
      <c r="A206" s="19">
        <v>44849</v>
      </c>
      <c r="B206" s="7" t="s">
        <v>2</v>
      </c>
      <c r="C206" s="7" t="s">
        <v>172</v>
      </c>
      <c r="D206" s="7" t="s">
        <v>3</v>
      </c>
      <c r="E206" s="7" t="s">
        <v>6</v>
      </c>
      <c r="F206" s="7" t="s">
        <v>403</v>
      </c>
      <c r="G206" s="7" t="s">
        <v>32</v>
      </c>
      <c r="H206" s="7" t="s">
        <v>30</v>
      </c>
      <c r="I206" s="7" t="s">
        <v>180</v>
      </c>
      <c r="J206" s="8">
        <v>4</v>
      </c>
      <c r="K206" s="9">
        <v>1.7</v>
      </c>
      <c r="L206" s="7" t="s">
        <v>19</v>
      </c>
      <c r="M206" s="61">
        <f>_xlfn.IFS(TableBets[[#This Row],[Win]]="Won",TableBets[[#This Row],[Stake]]*(TableBets[[#This Row],[Odds]]-1),AND(TableBets[[#This Row],[Win]]="Lost",TableBets[[#This Row],[BB]]&lt;&gt;"Y"),-TableBets[[#This Row],[Stake]],TableBets[[#This Row],[Win]]="Sold",-TableBets[[#This Row],[Stake]]+TableBets[[#This Row],[Sold for]],TRUE,0)</f>
        <v>-4</v>
      </c>
      <c r="N206" s="15"/>
      <c r="R206" s="23">
        <f>TableBets[[#This Row],[Date]]</f>
        <v>44849</v>
      </c>
      <c r="S206" s="15">
        <f>TableBets[[#This Row],[Profit]]+$S205</f>
        <v>-6.6535799999999767</v>
      </c>
    </row>
    <row r="207" spans="1:19" x14ac:dyDescent="0.2">
      <c r="A207" s="19">
        <v>44849</v>
      </c>
      <c r="B207" s="7" t="s">
        <v>2</v>
      </c>
      <c r="C207" s="7" t="s">
        <v>327</v>
      </c>
      <c r="D207" s="7" t="s">
        <v>3</v>
      </c>
      <c r="E207" s="7" t="s">
        <v>6</v>
      </c>
      <c r="F207" s="7" t="s">
        <v>404</v>
      </c>
      <c r="G207" s="7" t="s">
        <v>32</v>
      </c>
      <c r="H207" s="7" t="s">
        <v>30</v>
      </c>
      <c r="I207" s="7" t="s">
        <v>109</v>
      </c>
      <c r="J207" s="8">
        <v>4</v>
      </c>
      <c r="K207" s="9">
        <v>1.6080000000000001</v>
      </c>
      <c r="L207" s="7" t="s">
        <v>18</v>
      </c>
      <c r="M207" s="61">
        <f>_xlfn.IFS(TableBets[[#This Row],[Win]]="Won",TableBets[[#This Row],[Stake]]*(TableBets[[#This Row],[Odds]]-1),AND(TableBets[[#This Row],[Win]]="Lost",TableBets[[#This Row],[BB]]&lt;&gt;"Y"),-TableBets[[#This Row],[Stake]],TableBets[[#This Row],[Win]]="Sold",-TableBets[[#This Row],[Stake]]+TableBets[[#This Row],[Sold for]],TRUE,0)</f>
        <v>2.4320000000000004</v>
      </c>
      <c r="N207" s="15"/>
      <c r="R207" s="23">
        <f>TableBets[[#This Row],[Date]]</f>
        <v>44849</v>
      </c>
      <c r="S207" s="15">
        <f>TableBets[[#This Row],[Profit]]+$S206</f>
        <v>-4.2215799999999764</v>
      </c>
    </row>
    <row r="208" spans="1:19" x14ac:dyDescent="0.2">
      <c r="A208" s="19">
        <v>44849</v>
      </c>
      <c r="B208" s="7" t="s">
        <v>2</v>
      </c>
      <c r="C208" s="7" t="s">
        <v>333</v>
      </c>
      <c r="D208" s="7" t="s">
        <v>3</v>
      </c>
      <c r="E208" s="7" t="s">
        <v>6</v>
      </c>
      <c r="F208" s="7" t="s">
        <v>405</v>
      </c>
      <c r="G208" s="7" t="s">
        <v>32</v>
      </c>
      <c r="H208" s="7" t="s">
        <v>30</v>
      </c>
      <c r="I208" s="7" t="s">
        <v>65</v>
      </c>
      <c r="J208" s="8">
        <v>4</v>
      </c>
      <c r="K208" s="9">
        <v>1.81</v>
      </c>
      <c r="L208" s="7" t="s">
        <v>19</v>
      </c>
      <c r="M208" s="61">
        <f>_xlfn.IFS(TableBets[[#This Row],[Win]]="Won",TableBets[[#This Row],[Stake]]*(TableBets[[#This Row],[Odds]]-1),AND(TableBets[[#This Row],[Win]]="Lost",TableBets[[#This Row],[BB]]&lt;&gt;"Y"),-TableBets[[#This Row],[Stake]],TableBets[[#This Row],[Win]]="Sold",-TableBets[[#This Row],[Stake]]+TableBets[[#This Row],[Sold for]],TRUE,0)</f>
        <v>-4</v>
      </c>
      <c r="N208" s="15"/>
      <c r="R208" s="23">
        <f>TableBets[[#This Row],[Date]]</f>
        <v>44849</v>
      </c>
      <c r="S208" s="15">
        <f>TableBets[[#This Row],[Profit]]+$S207</f>
        <v>-8.2215799999999764</v>
      </c>
    </row>
    <row r="209" spans="1:19" x14ac:dyDescent="0.2">
      <c r="A209" s="19">
        <v>44849</v>
      </c>
      <c r="B209" s="7" t="s">
        <v>2</v>
      </c>
      <c r="C209" s="7" t="s">
        <v>402</v>
      </c>
      <c r="D209" s="7" t="s">
        <v>3</v>
      </c>
      <c r="E209" s="7" t="s">
        <v>6</v>
      </c>
      <c r="F209" s="7" t="s">
        <v>407</v>
      </c>
      <c r="G209" s="7" t="s">
        <v>32</v>
      </c>
      <c r="H209" s="7" t="s">
        <v>30</v>
      </c>
      <c r="I209" s="7" t="s">
        <v>131</v>
      </c>
      <c r="J209" s="8">
        <v>4</v>
      </c>
      <c r="K209" s="9">
        <v>1.49</v>
      </c>
      <c r="L209" s="7" t="s">
        <v>18</v>
      </c>
      <c r="M209" s="61">
        <f>_xlfn.IFS(TableBets[[#This Row],[Win]]="Won",TableBets[[#This Row],[Stake]]*(TableBets[[#This Row],[Odds]]-1),AND(TableBets[[#This Row],[Win]]="Lost",TableBets[[#This Row],[BB]]&lt;&gt;"Y"),-TableBets[[#This Row],[Stake]],TableBets[[#This Row],[Win]]="Sold",-TableBets[[#This Row],[Stake]]+TableBets[[#This Row],[Sold for]],TRUE,0)</f>
        <v>1.96</v>
      </c>
      <c r="N209" s="15"/>
      <c r="R209" s="23">
        <f>TableBets[[#This Row],[Date]]</f>
        <v>44849</v>
      </c>
      <c r="S209" s="15">
        <f>TableBets[[#This Row],[Profit]]+$S208</f>
        <v>-6.2615799999999764</v>
      </c>
    </row>
    <row r="210" spans="1:19" x14ac:dyDescent="0.2">
      <c r="A210" s="19">
        <v>44849</v>
      </c>
      <c r="B210" s="7" t="s">
        <v>2</v>
      </c>
      <c r="C210" s="7" t="s">
        <v>327</v>
      </c>
      <c r="D210" s="7" t="s">
        <v>3</v>
      </c>
      <c r="E210" s="7" t="s">
        <v>6</v>
      </c>
      <c r="F210" s="7" t="s">
        <v>408</v>
      </c>
      <c r="G210" s="7" t="s">
        <v>32</v>
      </c>
      <c r="H210" s="7" t="s">
        <v>30</v>
      </c>
      <c r="I210" s="7" t="s">
        <v>167</v>
      </c>
      <c r="J210" s="8">
        <v>4</v>
      </c>
      <c r="K210" s="9">
        <v>1.65</v>
      </c>
      <c r="L210" s="7" t="s">
        <v>18</v>
      </c>
      <c r="M210" s="61">
        <f>_xlfn.IFS(TableBets[[#This Row],[Win]]="Won",TableBets[[#This Row],[Stake]]*(TableBets[[#This Row],[Odds]]-1),AND(TableBets[[#This Row],[Win]]="Lost",TableBets[[#This Row],[BB]]&lt;&gt;"Y"),-TableBets[[#This Row],[Stake]],TableBets[[#This Row],[Win]]="Sold",-TableBets[[#This Row],[Stake]]+TableBets[[#This Row],[Sold for]],TRUE,0)</f>
        <v>2.5999999999999996</v>
      </c>
      <c r="N210" s="15"/>
      <c r="R210" s="23">
        <f>TableBets[[#This Row],[Date]]</f>
        <v>44849</v>
      </c>
      <c r="S210" s="15">
        <f>TableBets[[#This Row],[Profit]]+$S209</f>
        <v>-3.6615799999999767</v>
      </c>
    </row>
    <row r="211" spans="1:19" x14ac:dyDescent="0.2">
      <c r="A211" s="19">
        <v>44849</v>
      </c>
      <c r="B211" s="7" t="s">
        <v>2</v>
      </c>
      <c r="C211" s="7" t="s">
        <v>409</v>
      </c>
      <c r="D211" s="7" t="s">
        <v>3</v>
      </c>
      <c r="E211" s="7" t="s">
        <v>6</v>
      </c>
      <c r="F211" s="7" t="s">
        <v>410</v>
      </c>
      <c r="G211" s="7" t="s">
        <v>32</v>
      </c>
      <c r="H211" s="7" t="s">
        <v>30</v>
      </c>
      <c r="I211" s="7" t="s">
        <v>161</v>
      </c>
      <c r="J211" s="8">
        <v>4</v>
      </c>
      <c r="K211" s="9">
        <v>1.86</v>
      </c>
      <c r="L211" s="7" t="s">
        <v>18</v>
      </c>
      <c r="M211" s="61">
        <f>_xlfn.IFS(TableBets[[#This Row],[Win]]="Won",TableBets[[#This Row],[Stake]]*(TableBets[[#This Row],[Odds]]-1),AND(TableBets[[#This Row],[Win]]="Lost",TableBets[[#This Row],[BB]]&lt;&gt;"Y"),-TableBets[[#This Row],[Stake]],TableBets[[#This Row],[Win]]="Sold",-TableBets[[#This Row],[Stake]]+TableBets[[#This Row],[Sold for]],TRUE,0)</f>
        <v>3.4400000000000004</v>
      </c>
      <c r="N211" s="15"/>
      <c r="R211" s="23">
        <f>TableBets[[#This Row],[Date]]</f>
        <v>44849</v>
      </c>
      <c r="S211" s="15">
        <f>TableBets[[#This Row],[Profit]]+$S210</f>
        <v>-0.22157999999997635</v>
      </c>
    </row>
    <row r="212" spans="1:19" x14ac:dyDescent="0.2">
      <c r="A212" s="19">
        <v>44849</v>
      </c>
      <c r="B212" s="7" t="s">
        <v>2</v>
      </c>
      <c r="C212" s="7" t="s">
        <v>416</v>
      </c>
      <c r="D212" s="7" t="s">
        <v>11</v>
      </c>
      <c r="E212" s="7" t="s">
        <v>6</v>
      </c>
      <c r="F212" s="7" t="s">
        <v>417</v>
      </c>
      <c r="G212" s="7" t="s">
        <v>30</v>
      </c>
      <c r="H212" s="7" t="s">
        <v>30</v>
      </c>
      <c r="I212" s="7" t="s">
        <v>424</v>
      </c>
      <c r="J212" s="8">
        <v>4</v>
      </c>
      <c r="K212" s="9">
        <v>1.52</v>
      </c>
      <c r="L212" s="7" t="s">
        <v>18</v>
      </c>
      <c r="M212" s="61">
        <f>_xlfn.IFS(TableBets[[#This Row],[Win]]="Won",TableBets[[#This Row],[Stake]]*(TableBets[[#This Row],[Odds]]-1),AND(TableBets[[#This Row],[Win]]="Lost",TableBets[[#This Row],[BB]]&lt;&gt;"Y"),-TableBets[[#This Row],[Stake]],TableBets[[#This Row],[Win]]="Sold",-TableBets[[#This Row],[Stake]]+TableBets[[#This Row],[Sold for]],TRUE,0)</f>
        <v>2.08</v>
      </c>
      <c r="N212" s="15"/>
      <c r="R212" s="23">
        <f>TableBets[[#This Row],[Date]]</f>
        <v>44849</v>
      </c>
      <c r="S212" s="15">
        <f>TableBets[[#This Row],[Profit]]+$S211</f>
        <v>1.8584200000000237</v>
      </c>
    </row>
    <row r="213" spans="1:19" x14ac:dyDescent="0.2">
      <c r="A213" s="19">
        <v>44849</v>
      </c>
      <c r="B213" s="7" t="s">
        <v>2</v>
      </c>
      <c r="C213" s="7" t="s">
        <v>418</v>
      </c>
      <c r="D213" s="7" t="s">
        <v>3</v>
      </c>
      <c r="E213" s="7" t="s">
        <v>6</v>
      </c>
      <c r="F213" s="7" t="s">
        <v>420</v>
      </c>
      <c r="G213" s="7" t="s">
        <v>32</v>
      </c>
      <c r="H213" s="7" t="s">
        <v>30</v>
      </c>
      <c r="I213" s="7" t="s">
        <v>152</v>
      </c>
      <c r="J213" s="8">
        <v>4</v>
      </c>
      <c r="K213" s="9">
        <v>1.59</v>
      </c>
      <c r="L213" s="7" t="s">
        <v>18</v>
      </c>
      <c r="M213" s="61">
        <f>_xlfn.IFS(TableBets[[#This Row],[Win]]="Won",TableBets[[#This Row],[Stake]]*(TableBets[[#This Row],[Odds]]-1),AND(TableBets[[#This Row],[Win]]="Lost",TableBets[[#This Row],[BB]]&lt;&gt;"Y"),-TableBets[[#This Row],[Stake]],TableBets[[#This Row],[Win]]="Sold",-TableBets[[#This Row],[Stake]]+TableBets[[#This Row],[Sold for]],TRUE,0)</f>
        <v>2.3600000000000003</v>
      </c>
      <c r="N213" s="15"/>
      <c r="R213" s="23">
        <f>TableBets[[#This Row],[Date]]</f>
        <v>44849</v>
      </c>
      <c r="S213" s="15">
        <f>TableBets[[#This Row],[Profit]]+$S212</f>
        <v>4.218420000000024</v>
      </c>
    </row>
    <row r="214" spans="1:19" x14ac:dyDescent="0.2">
      <c r="A214" s="19">
        <v>44849</v>
      </c>
      <c r="B214" s="7" t="s">
        <v>2</v>
      </c>
      <c r="C214" s="7" t="s">
        <v>419</v>
      </c>
      <c r="D214" s="7" t="s">
        <v>3</v>
      </c>
      <c r="E214" s="7" t="s">
        <v>6</v>
      </c>
      <c r="F214" s="7" t="s">
        <v>421</v>
      </c>
      <c r="G214" s="7" t="s">
        <v>32</v>
      </c>
      <c r="H214" s="7" t="s">
        <v>30</v>
      </c>
      <c r="I214" s="7" t="s">
        <v>423</v>
      </c>
      <c r="J214" s="8">
        <v>4</v>
      </c>
      <c r="K214" s="9">
        <v>1.41</v>
      </c>
      <c r="L214" s="7" t="s">
        <v>18</v>
      </c>
      <c r="M214" s="61">
        <f>_xlfn.IFS(TableBets[[#This Row],[Win]]="Won",TableBets[[#This Row],[Stake]]*(TableBets[[#This Row],[Odds]]-1),AND(TableBets[[#This Row],[Win]]="Lost",TableBets[[#This Row],[BB]]&lt;&gt;"Y"),-TableBets[[#This Row],[Stake]],TableBets[[#This Row],[Win]]="Sold",-TableBets[[#This Row],[Stake]]+TableBets[[#This Row],[Sold for]],TRUE,0)</f>
        <v>1.6399999999999997</v>
      </c>
      <c r="N214" s="15"/>
      <c r="R214" s="23">
        <f>TableBets[[#This Row],[Date]]</f>
        <v>44849</v>
      </c>
      <c r="S214" s="15">
        <f>TableBets[[#This Row],[Profit]]+$S213</f>
        <v>5.8584200000000237</v>
      </c>
    </row>
    <row r="215" spans="1:19" x14ac:dyDescent="0.2">
      <c r="A215" s="19">
        <v>44849</v>
      </c>
      <c r="B215" s="7" t="s">
        <v>2</v>
      </c>
      <c r="C215" s="7" t="s">
        <v>418</v>
      </c>
      <c r="D215" s="7" t="s">
        <v>3</v>
      </c>
      <c r="E215" s="7" t="s">
        <v>6</v>
      </c>
      <c r="F215" s="7" t="s">
        <v>425</v>
      </c>
      <c r="G215" s="7" t="s">
        <v>32</v>
      </c>
      <c r="H215" s="7" t="s">
        <v>30</v>
      </c>
      <c r="I215" s="7" t="s">
        <v>48</v>
      </c>
      <c r="J215" s="8">
        <v>4</v>
      </c>
      <c r="K215" s="9">
        <v>1.92</v>
      </c>
      <c r="L215" s="7" t="s">
        <v>19</v>
      </c>
      <c r="M215" s="61">
        <f>_xlfn.IFS(TableBets[[#This Row],[Win]]="Won",TableBets[[#This Row],[Stake]]*(TableBets[[#This Row],[Odds]]-1),AND(TableBets[[#This Row],[Win]]="Lost",TableBets[[#This Row],[BB]]&lt;&gt;"Y"),-TableBets[[#This Row],[Stake]],TableBets[[#This Row],[Win]]="Sold",-TableBets[[#This Row],[Stake]]+TableBets[[#This Row],[Sold for]],TRUE,0)</f>
        <v>-4</v>
      </c>
      <c r="N215" s="15"/>
      <c r="R215" s="23">
        <f>TableBets[[#This Row],[Date]]</f>
        <v>44849</v>
      </c>
      <c r="S215" s="15">
        <f>TableBets[[#This Row],[Profit]]+$S214</f>
        <v>1.8584200000000237</v>
      </c>
    </row>
    <row r="216" spans="1:19" x14ac:dyDescent="0.2">
      <c r="A216" s="19">
        <v>44849</v>
      </c>
      <c r="B216" s="7" t="s">
        <v>2</v>
      </c>
      <c r="C216" s="7" t="s">
        <v>291</v>
      </c>
      <c r="D216" s="7" t="s">
        <v>3</v>
      </c>
      <c r="E216" s="7" t="s">
        <v>6</v>
      </c>
      <c r="F216" s="7" t="s">
        <v>426</v>
      </c>
      <c r="G216" s="7" t="s">
        <v>30</v>
      </c>
      <c r="H216" s="7" t="s">
        <v>30</v>
      </c>
      <c r="I216" s="7" t="s">
        <v>65</v>
      </c>
      <c r="J216" s="8">
        <v>4</v>
      </c>
      <c r="K216" s="9">
        <v>1.544</v>
      </c>
      <c r="L216" s="7" t="s">
        <v>19</v>
      </c>
      <c r="M216" s="61">
        <f>_xlfn.IFS(TableBets[[#This Row],[Win]]="Won",TableBets[[#This Row],[Stake]]*(TableBets[[#This Row],[Odds]]-1),AND(TableBets[[#This Row],[Win]]="Lost",TableBets[[#This Row],[BB]]&lt;&gt;"Y"),-TableBets[[#This Row],[Stake]],TableBets[[#This Row],[Win]]="Sold",-TableBets[[#This Row],[Stake]]+TableBets[[#This Row],[Sold for]],TRUE,0)</f>
        <v>-4</v>
      </c>
      <c r="N216" s="15"/>
      <c r="R216" s="23">
        <f>TableBets[[#This Row],[Date]]</f>
        <v>44849</v>
      </c>
      <c r="S216" s="15">
        <f>TableBets[[#This Row],[Profit]]+$S215</f>
        <v>-2.1415799999999763</v>
      </c>
    </row>
    <row r="217" spans="1:19" x14ac:dyDescent="0.2">
      <c r="A217" s="19">
        <v>44850</v>
      </c>
      <c r="B217" s="7" t="s">
        <v>2</v>
      </c>
      <c r="C217" s="7" t="s">
        <v>162</v>
      </c>
      <c r="D217" s="7" t="s">
        <v>3</v>
      </c>
      <c r="E217" s="7" t="s">
        <v>6</v>
      </c>
      <c r="F217" s="7" t="s">
        <v>429</v>
      </c>
      <c r="G217" s="7" t="s">
        <v>30</v>
      </c>
      <c r="H217" s="7" t="s">
        <v>30</v>
      </c>
      <c r="I217" s="7" t="s">
        <v>48</v>
      </c>
      <c r="J217" s="8">
        <v>4</v>
      </c>
      <c r="K217" s="9">
        <v>1.66</v>
      </c>
      <c r="L217" s="7" t="s">
        <v>19</v>
      </c>
      <c r="M217" s="61">
        <f>_xlfn.IFS(TableBets[[#This Row],[Win]]="Won",TableBets[[#This Row],[Stake]]*(TableBets[[#This Row],[Odds]]-1),AND(TableBets[[#This Row],[Win]]="Lost",TableBets[[#This Row],[BB]]&lt;&gt;"Y"),-TableBets[[#This Row],[Stake]],TableBets[[#This Row],[Win]]="Sold",-TableBets[[#This Row],[Stake]]+TableBets[[#This Row],[Sold for]],TRUE,0)</f>
        <v>-4</v>
      </c>
      <c r="N217" s="15"/>
      <c r="R217" s="23">
        <f>TableBets[[#This Row],[Date]]</f>
        <v>44850</v>
      </c>
      <c r="S217" s="15">
        <f>TableBets[[#This Row],[Profit]]+$S216</f>
        <v>-6.1415799999999763</v>
      </c>
    </row>
    <row r="218" spans="1:19" x14ac:dyDescent="0.2">
      <c r="A218" s="19">
        <v>44850</v>
      </c>
      <c r="B218" s="7" t="s">
        <v>2</v>
      </c>
      <c r="C218" s="7" t="s">
        <v>437</v>
      </c>
      <c r="D218" s="7" t="s">
        <v>11</v>
      </c>
      <c r="E218" s="7" t="s">
        <v>6</v>
      </c>
      <c r="F218" s="7" t="s">
        <v>431</v>
      </c>
      <c r="G218" s="7" t="s">
        <v>30</v>
      </c>
      <c r="H218" s="7" t="s">
        <v>30</v>
      </c>
      <c r="I218" s="7" t="s">
        <v>38</v>
      </c>
      <c r="J218" s="8">
        <v>4</v>
      </c>
      <c r="K218" s="9">
        <v>1.4119999999999999</v>
      </c>
      <c r="L218" s="7" t="s">
        <v>18</v>
      </c>
      <c r="M218" s="61">
        <f>_xlfn.IFS(TableBets[[#This Row],[Win]]="Won",TableBets[[#This Row],[Stake]]*(TableBets[[#This Row],[Odds]]-1),AND(TableBets[[#This Row],[Win]]="Lost",TableBets[[#This Row],[BB]]&lt;&gt;"Y"),-TableBets[[#This Row],[Stake]],TableBets[[#This Row],[Win]]="Sold",-TableBets[[#This Row],[Stake]]+TableBets[[#This Row],[Sold for]],TRUE,0)</f>
        <v>1.6479999999999997</v>
      </c>
      <c r="N218" s="15"/>
      <c r="R218" s="23">
        <f>TableBets[[#This Row],[Date]]</f>
        <v>44850</v>
      </c>
      <c r="S218" s="15">
        <f>TableBets[[#This Row],[Profit]]+$S217</f>
        <v>-4.4935799999999766</v>
      </c>
    </row>
    <row r="219" spans="1:19" x14ac:dyDescent="0.2">
      <c r="A219" s="19">
        <v>44850</v>
      </c>
      <c r="B219" s="7" t="s">
        <v>2</v>
      </c>
      <c r="C219" s="7" t="s">
        <v>327</v>
      </c>
      <c r="D219" s="7" t="s">
        <v>3</v>
      </c>
      <c r="E219" s="7" t="s">
        <v>6</v>
      </c>
      <c r="F219" s="7" t="s">
        <v>430</v>
      </c>
      <c r="G219" s="7" t="s">
        <v>30</v>
      </c>
      <c r="H219" s="7" t="s">
        <v>30</v>
      </c>
      <c r="I219" s="7" t="s">
        <v>65</v>
      </c>
      <c r="J219" s="8">
        <v>4</v>
      </c>
      <c r="K219" s="9">
        <v>1.4750000000000001</v>
      </c>
      <c r="L219" s="7" t="s">
        <v>18</v>
      </c>
      <c r="M219" s="61">
        <f>_xlfn.IFS(TableBets[[#This Row],[Win]]="Won",TableBets[[#This Row],[Stake]]*(TableBets[[#This Row],[Odds]]-1),AND(TableBets[[#This Row],[Win]]="Lost",TableBets[[#This Row],[BB]]&lt;&gt;"Y"),-TableBets[[#This Row],[Stake]],TableBets[[#This Row],[Win]]="Sold",-TableBets[[#This Row],[Stake]]+TableBets[[#This Row],[Sold for]],TRUE,0)</f>
        <v>1.9000000000000004</v>
      </c>
      <c r="N219" s="15"/>
      <c r="R219" s="23">
        <f>TableBets[[#This Row],[Date]]</f>
        <v>44850</v>
      </c>
      <c r="S219" s="15">
        <f>TableBets[[#This Row],[Profit]]+$S218</f>
        <v>-2.5935799999999762</v>
      </c>
    </row>
    <row r="220" spans="1:19" x14ac:dyDescent="0.2">
      <c r="A220" s="19">
        <v>44850</v>
      </c>
      <c r="B220" s="7" t="s">
        <v>2</v>
      </c>
      <c r="C220" s="7" t="s">
        <v>162</v>
      </c>
      <c r="D220" s="7" t="s">
        <v>3</v>
      </c>
      <c r="E220" s="7" t="s">
        <v>6</v>
      </c>
      <c r="F220" s="7" t="s">
        <v>438</v>
      </c>
      <c r="G220" s="7" t="s">
        <v>32</v>
      </c>
      <c r="H220" s="7" t="s">
        <v>30</v>
      </c>
      <c r="I220" s="7" t="s">
        <v>62</v>
      </c>
      <c r="J220" s="8">
        <v>4</v>
      </c>
      <c r="K220" s="9">
        <v>3.31</v>
      </c>
      <c r="L220" s="7" t="s">
        <v>19</v>
      </c>
      <c r="M220" s="61">
        <f>_xlfn.IFS(TableBets[[#This Row],[Win]]="Won",TableBets[[#This Row],[Stake]]*(TableBets[[#This Row],[Odds]]-1),AND(TableBets[[#This Row],[Win]]="Lost",TableBets[[#This Row],[BB]]&lt;&gt;"Y"),-TableBets[[#This Row],[Stake]],TableBets[[#This Row],[Win]]="Sold",-TableBets[[#This Row],[Stake]]+TableBets[[#This Row],[Sold for]],TRUE,0)</f>
        <v>-4</v>
      </c>
      <c r="N220" s="15"/>
      <c r="R220" s="23">
        <f>TableBets[[#This Row],[Date]]</f>
        <v>44850</v>
      </c>
      <c r="S220" s="15">
        <f>TableBets[[#This Row],[Profit]]+$S219</f>
        <v>-6.5935799999999762</v>
      </c>
    </row>
    <row r="221" spans="1:19" x14ac:dyDescent="0.2">
      <c r="A221" s="19">
        <v>44850</v>
      </c>
      <c r="B221" s="7" t="s">
        <v>2</v>
      </c>
      <c r="C221" s="7" t="s">
        <v>288</v>
      </c>
      <c r="D221" s="7" t="s">
        <v>3</v>
      </c>
      <c r="E221" s="7" t="s">
        <v>6</v>
      </c>
      <c r="F221" s="7" t="s">
        <v>439</v>
      </c>
      <c r="G221" s="7" t="s">
        <v>32</v>
      </c>
      <c r="H221" s="7" t="s">
        <v>30</v>
      </c>
      <c r="I221" s="7" t="s">
        <v>161</v>
      </c>
      <c r="J221" s="8">
        <v>4</v>
      </c>
      <c r="K221" s="9">
        <v>2.27</v>
      </c>
      <c r="L221" s="7" t="s">
        <v>19</v>
      </c>
      <c r="M221" s="61">
        <f>_xlfn.IFS(TableBets[[#This Row],[Win]]="Won",TableBets[[#This Row],[Stake]]*(TableBets[[#This Row],[Odds]]-1),AND(TableBets[[#This Row],[Win]]="Lost",TableBets[[#This Row],[BB]]&lt;&gt;"Y"),-TableBets[[#This Row],[Stake]],TableBets[[#This Row],[Win]]="Sold",-TableBets[[#This Row],[Stake]]+TableBets[[#This Row],[Sold for]],TRUE,0)</f>
        <v>-4</v>
      </c>
      <c r="N221" s="15"/>
      <c r="R221" s="23">
        <f>TableBets[[#This Row],[Date]]</f>
        <v>44850</v>
      </c>
      <c r="S221" s="15">
        <f>TableBets[[#This Row],[Profit]]+$S220</f>
        <v>-10.593579999999976</v>
      </c>
    </row>
    <row r="222" spans="1:19" x14ac:dyDescent="0.2">
      <c r="A222" s="19">
        <v>44850</v>
      </c>
      <c r="B222" s="7" t="s">
        <v>2</v>
      </c>
      <c r="C222" s="7" t="s">
        <v>295</v>
      </c>
      <c r="D222" s="7" t="s">
        <v>3</v>
      </c>
      <c r="E222" s="7" t="s">
        <v>6</v>
      </c>
      <c r="F222" s="7" t="s">
        <v>440</v>
      </c>
      <c r="G222" s="7" t="s">
        <v>30</v>
      </c>
      <c r="H222" s="7" t="s">
        <v>30</v>
      </c>
      <c r="I222" s="7" t="s">
        <v>35</v>
      </c>
      <c r="J222" s="8">
        <v>4</v>
      </c>
      <c r="K222" s="9">
        <v>1.47</v>
      </c>
      <c r="L222" s="7" t="s">
        <v>18</v>
      </c>
      <c r="M222" s="61">
        <f>_xlfn.IFS(TableBets[[#This Row],[Win]]="Won",TableBets[[#This Row],[Stake]]*(TableBets[[#This Row],[Odds]]-1),AND(TableBets[[#This Row],[Win]]="Lost",TableBets[[#This Row],[BB]]&lt;&gt;"Y"),-TableBets[[#This Row],[Stake]],TableBets[[#This Row],[Win]]="Sold",-TableBets[[#This Row],[Stake]]+TableBets[[#This Row],[Sold for]],TRUE,0)</f>
        <v>1.88</v>
      </c>
      <c r="N222" s="15"/>
      <c r="R222" s="23">
        <f>TableBets[[#This Row],[Date]]</f>
        <v>44850</v>
      </c>
      <c r="S222" s="15">
        <f>TableBets[[#This Row],[Profit]]+$S221</f>
        <v>-8.7135799999999755</v>
      </c>
    </row>
    <row r="223" spans="1:19" x14ac:dyDescent="0.2">
      <c r="A223" s="19">
        <v>44850</v>
      </c>
      <c r="B223" s="7" t="s">
        <v>2</v>
      </c>
      <c r="C223" s="7" t="s">
        <v>258</v>
      </c>
      <c r="D223" s="7" t="s">
        <v>3</v>
      </c>
      <c r="E223" s="7" t="s">
        <v>6</v>
      </c>
      <c r="F223" s="7" t="s">
        <v>441</v>
      </c>
      <c r="G223" s="7" t="s">
        <v>32</v>
      </c>
      <c r="H223" s="7" t="s">
        <v>30</v>
      </c>
      <c r="I223" s="7" t="s">
        <v>53</v>
      </c>
      <c r="J223" s="8">
        <v>4</v>
      </c>
      <c r="K223" s="9">
        <v>1.87</v>
      </c>
      <c r="L223" s="7" t="s">
        <v>19</v>
      </c>
      <c r="M223" s="61">
        <f>_xlfn.IFS(TableBets[[#This Row],[Win]]="Won",TableBets[[#This Row],[Stake]]*(TableBets[[#This Row],[Odds]]-1),AND(TableBets[[#This Row],[Win]]="Lost",TableBets[[#This Row],[BB]]&lt;&gt;"Y"),-TableBets[[#This Row],[Stake]],TableBets[[#This Row],[Win]]="Sold",-TableBets[[#This Row],[Stake]]+TableBets[[#This Row],[Sold for]],TRUE,0)</f>
        <v>-4</v>
      </c>
      <c r="N223" s="15"/>
      <c r="R223" s="23">
        <f>TableBets[[#This Row],[Date]]</f>
        <v>44850</v>
      </c>
      <c r="S223" s="15">
        <f>TableBets[[#This Row],[Profit]]+$S222</f>
        <v>-12.713579999999975</v>
      </c>
    </row>
    <row r="224" spans="1:19" x14ac:dyDescent="0.2">
      <c r="A224" s="19">
        <v>44850</v>
      </c>
      <c r="B224" s="7" t="s">
        <v>2</v>
      </c>
      <c r="C224" s="7" t="s">
        <v>442</v>
      </c>
      <c r="D224" s="7" t="s">
        <v>11</v>
      </c>
      <c r="E224" s="7" t="s">
        <v>6</v>
      </c>
      <c r="F224" s="7" t="s">
        <v>443</v>
      </c>
      <c r="G224" s="7" t="s">
        <v>30</v>
      </c>
      <c r="H224" s="7" t="s">
        <v>30</v>
      </c>
      <c r="I224" s="7" t="s">
        <v>94</v>
      </c>
      <c r="J224" s="8">
        <v>4</v>
      </c>
      <c r="K224" s="9">
        <v>1.7</v>
      </c>
      <c r="L224" s="7" t="s">
        <v>18</v>
      </c>
      <c r="M224" s="61">
        <f>_xlfn.IFS(TableBets[[#This Row],[Win]]="Won",TableBets[[#This Row],[Stake]]*(TableBets[[#This Row],[Odds]]-1),AND(TableBets[[#This Row],[Win]]="Lost",TableBets[[#This Row],[BB]]&lt;&gt;"Y"),-TableBets[[#This Row],[Stake]],TableBets[[#This Row],[Win]]="Sold",-TableBets[[#This Row],[Stake]]+TableBets[[#This Row],[Sold for]],TRUE,0)</f>
        <v>2.8</v>
      </c>
      <c r="N224" s="15"/>
      <c r="R224" s="23">
        <f>TableBets[[#This Row],[Date]]</f>
        <v>44850</v>
      </c>
      <c r="S224" s="15">
        <f>TableBets[[#This Row],[Profit]]+$S223</f>
        <v>-9.9135799999999747</v>
      </c>
    </row>
    <row r="225" spans="1:19" x14ac:dyDescent="0.2">
      <c r="A225" s="19">
        <v>44850</v>
      </c>
      <c r="B225" s="7" t="s">
        <v>2</v>
      </c>
      <c r="C225" s="7" t="s">
        <v>327</v>
      </c>
      <c r="D225" s="7" t="s">
        <v>3</v>
      </c>
      <c r="E225" s="7" t="s">
        <v>6</v>
      </c>
      <c r="F225" s="7" t="s">
        <v>444</v>
      </c>
      <c r="G225" s="7" t="s">
        <v>32</v>
      </c>
      <c r="H225" s="7" t="s">
        <v>30</v>
      </c>
      <c r="I225" s="7" t="s">
        <v>445</v>
      </c>
      <c r="J225" s="8">
        <v>4</v>
      </c>
      <c r="K225" s="9">
        <v>2.78</v>
      </c>
      <c r="L225" s="7" t="s">
        <v>19</v>
      </c>
      <c r="M225" s="61">
        <f>_xlfn.IFS(TableBets[[#This Row],[Win]]="Won",TableBets[[#This Row],[Stake]]*(TableBets[[#This Row],[Odds]]-1),AND(TableBets[[#This Row],[Win]]="Lost",TableBets[[#This Row],[BB]]&lt;&gt;"Y"),-TableBets[[#This Row],[Stake]],TableBets[[#This Row],[Win]]="Sold",-TableBets[[#This Row],[Stake]]+TableBets[[#This Row],[Sold for]],TRUE,0)</f>
        <v>-4</v>
      </c>
      <c r="N225" s="15"/>
      <c r="R225" s="23">
        <f>TableBets[[#This Row],[Date]]</f>
        <v>44850</v>
      </c>
      <c r="S225" s="15">
        <f>TableBets[[#This Row],[Profit]]+$S224</f>
        <v>-13.913579999999975</v>
      </c>
    </row>
    <row r="226" spans="1:19" x14ac:dyDescent="0.2">
      <c r="A226" s="19">
        <v>44850</v>
      </c>
      <c r="B226" s="7" t="s">
        <v>2</v>
      </c>
      <c r="C226" s="7" t="s">
        <v>378</v>
      </c>
      <c r="D226" s="7" t="s">
        <v>3</v>
      </c>
      <c r="E226" s="7" t="s">
        <v>6</v>
      </c>
      <c r="F226" s="7" t="s">
        <v>446</v>
      </c>
      <c r="G226" s="7" t="s">
        <v>32</v>
      </c>
      <c r="H226" s="7" t="s">
        <v>30</v>
      </c>
      <c r="I226" s="7" t="s">
        <v>91</v>
      </c>
      <c r="J226" s="8">
        <v>4</v>
      </c>
      <c r="K226" s="9">
        <v>2.2799999999999998</v>
      </c>
      <c r="L226" s="7" t="s">
        <v>18</v>
      </c>
      <c r="M226" s="61">
        <f>_xlfn.IFS(TableBets[[#This Row],[Win]]="Won",TableBets[[#This Row],[Stake]]*(TableBets[[#This Row],[Odds]]-1),AND(TableBets[[#This Row],[Win]]="Lost",TableBets[[#This Row],[BB]]&lt;&gt;"Y"),-TableBets[[#This Row],[Stake]],TableBets[[#This Row],[Win]]="Sold",-TableBets[[#This Row],[Stake]]+TableBets[[#This Row],[Sold for]],TRUE,0)</f>
        <v>5.1199999999999992</v>
      </c>
      <c r="N226" s="15"/>
      <c r="R226" s="23">
        <f>TableBets[[#This Row],[Date]]</f>
        <v>44850</v>
      </c>
      <c r="S226" s="15">
        <f>TableBets[[#This Row],[Profit]]+$S225</f>
        <v>-8.7935799999999755</v>
      </c>
    </row>
    <row r="227" spans="1:19" x14ac:dyDescent="0.2">
      <c r="A227" s="19">
        <v>44850</v>
      </c>
      <c r="B227" s="7" t="s">
        <v>2</v>
      </c>
      <c r="C227" s="7" t="s">
        <v>399</v>
      </c>
      <c r="D227" s="7" t="s">
        <v>3</v>
      </c>
      <c r="E227" s="7" t="s">
        <v>6</v>
      </c>
      <c r="F227" s="7" t="s">
        <v>447</v>
      </c>
      <c r="G227" s="7" t="s">
        <v>32</v>
      </c>
      <c r="H227" s="7" t="s">
        <v>30</v>
      </c>
      <c r="I227" s="7" t="s">
        <v>53</v>
      </c>
      <c r="J227" s="8">
        <v>4</v>
      </c>
      <c r="K227" s="9">
        <v>1.96</v>
      </c>
      <c r="L227" s="7" t="s">
        <v>18</v>
      </c>
      <c r="M227" s="61">
        <f>_xlfn.IFS(TableBets[[#This Row],[Win]]="Won",TableBets[[#This Row],[Stake]]*(TableBets[[#This Row],[Odds]]-1),AND(TableBets[[#This Row],[Win]]="Lost",TableBets[[#This Row],[BB]]&lt;&gt;"Y"),-TableBets[[#This Row],[Stake]],TableBets[[#This Row],[Win]]="Sold",-TableBets[[#This Row],[Stake]]+TableBets[[#This Row],[Sold for]],TRUE,0)</f>
        <v>3.84</v>
      </c>
      <c r="N227" s="15"/>
      <c r="R227" s="23">
        <f>TableBets[[#This Row],[Date]]</f>
        <v>44850</v>
      </c>
      <c r="S227" s="15">
        <f>TableBets[[#This Row],[Profit]]+$S226</f>
        <v>-4.9535799999999757</v>
      </c>
    </row>
    <row r="228" spans="1:19" x14ac:dyDescent="0.2">
      <c r="A228" s="19">
        <v>44850</v>
      </c>
      <c r="B228" s="7" t="s">
        <v>2</v>
      </c>
      <c r="C228" s="7" t="s">
        <v>258</v>
      </c>
      <c r="D228" s="7" t="s">
        <v>3</v>
      </c>
      <c r="E228" s="7" t="s">
        <v>6</v>
      </c>
      <c r="F228" s="7" t="s">
        <v>448</v>
      </c>
      <c r="G228" s="7" t="s">
        <v>32</v>
      </c>
      <c r="H228" s="7" t="s">
        <v>30</v>
      </c>
      <c r="I228" s="7" t="s">
        <v>97</v>
      </c>
      <c r="J228" s="8">
        <v>4</v>
      </c>
      <c r="K228" s="9">
        <v>1.8</v>
      </c>
      <c r="L228" s="7" t="s">
        <v>18</v>
      </c>
      <c r="M228" s="61">
        <f>_xlfn.IFS(TableBets[[#This Row],[Win]]="Won",TableBets[[#This Row],[Stake]]*(TableBets[[#This Row],[Odds]]-1),AND(TableBets[[#This Row],[Win]]="Lost",TableBets[[#This Row],[BB]]&lt;&gt;"Y"),-TableBets[[#This Row],[Stake]],TableBets[[#This Row],[Win]]="Sold",-TableBets[[#This Row],[Stake]]+TableBets[[#This Row],[Sold for]],TRUE,0)</f>
        <v>3.2</v>
      </c>
      <c r="N228" s="15"/>
      <c r="R228" s="23">
        <f>TableBets[[#This Row],[Date]]</f>
        <v>44850</v>
      </c>
      <c r="S228" s="15">
        <f>TableBets[[#This Row],[Profit]]+$S227</f>
        <v>-1.7535799999999755</v>
      </c>
    </row>
    <row r="229" spans="1:19" x14ac:dyDescent="0.2">
      <c r="A229" s="19">
        <v>44850</v>
      </c>
      <c r="B229" s="7" t="s">
        <v>2</v>
      </c>
      <c r="C229" s="7" t="s">
        <v>258</v>
      </c>
      <c r="D229" s="7" t="s">
        <v>3</v>
      </c>
      <c r="E229" s="7" t="s">
        <v>6</v>
      </c>
      <c r="F229" s="7" t="s">
        <v>449</v>
      </c>
      <c r="G229" s="7" t="s">
        <v>32</v>
      </c>
      <c r="H229" s="7" t="s">
        <v>30</v>
      </c>
      <c r="I229" s="7" t="s">
        <v>65</v>
      </c>
      <c r="J229" s="8">
        <v>4</v>
      </c>
      <c r="K229" s="9">
        <v>1.58</v>
      </c>
      <c r="L229" s="7" t="s">
        <v>18</v>
      </c>
      <c r="M229" s="61">
        <f>_xlfn.IFS(TableBets[[#This Row],[Win]]="Won",TableBets[[#This Row],[Stake]]*(TableBets[[#This Row],[Odds]]-1),AND(TableBets[[#This Row],[Win]]="Lost",TableBets[[#This Row],[BB]]&lt;&gt;"Y"),-TableBets[[#This Row],[Stake]],TableBets[[#This Row],[Win]]="Sold",-TableBets[[#This Row],[Stake]]+TableBets[[#This Row],[Sold for]],TRUE,0)</f>
        <v>2.3200000000000003</v>
      </c>
      <c r="N229" s="15"/>
      <c r="R229" s="23">
        <f>TableBets[[#This Row],[Date]]</f>
        <v>44850</v>
      </c>
      <c r="S229" s="15">
        <f>TableBets[[#This Row],[Profit]]+$S228</f>
        <v>0.56642000000002479</v>
      </c>
    </row>
    <row r="230" spans="1:19" x14ac:dyDescent="0.2">
      <c r="A230" s="19">
        <v>44850</v>
      </c>
      <c r="B230" s="7" t="s">
        <v>2</v>
      </c>
      <c r="C230" s="7" t="s">
        <v>437</v>
      </c>
      <c r="D230" s="7" t="s">
        <v>11</v>
      </c>
      <c r="E230" s="7" t="s">
        <v>6</v>
      </c>
      <c r="F230" s="7" t="s">
        <v>431</v>
      </c>
      <c r="G230" s="7" t="s">
        <v>30</v>
      </c>
      <c r="H230" s="7" t="s">
        <v>30</v>
      </c>
      <c r="I230" s="7" t="s">
        <v>38</v>
      </c>
      <c r="J230" s="8">
        <v>4</v>
      </c>
      <c r="K230" s="9">
        <v>1.4550000000000001</v>
      </c>
      <c r="L230" s="7" t="s">
        <v>18</v>
      </c>
      <c r="M230" s="61">
        <f>_xlfn.IFS(TableBets[[#This Row],[Win]]="Won",TableBets[[#This Row],[Stake]]*(TableBets[[#This Row],[Odds]]-1),AND(TableBets[[#This Row],[Win]]="Lost",TableBets[[#This Row],[BB]]&lt;&gt;"Y"),-TableBets[[#This Row],[Stake]],TableBets[[#This Row],[Win]]="Sold",-TableBets[[#This Row],[Stake]]+TableBets[[#This Row],[Sold for]],TRUE,0)</f>
        <v>1.8200000000000003</v>
      </c>
      <c r="N230" s="15"/>
      <c r="R230" s="23">
        <f>TableBets[[#This Row],[Date]]</f>
        <v>44850</v>
      </c>
      <c r="S230" s="15">
        <f>TableBets[[#This Row],[Profit]]+$S229</f>
        <v>2.3864200000000251</v>
      </c>
    </row>
    <row r="231" spans="1:19" x14ac:dyDescent="0.2">
      <c r="A231" s="19">
        <v>44850</v>
      </c>
      <c r="B231" s="7" t="s">
        <v>2</v>
      </c>
      <c r="C231" s="7" t="s">
        <v>450</v>
      </c>
      <c r="D231" s="7" t="s">
        <v>3</v>
      </c>
      <c r="E231" s="7" t="s">
        <v>6</v>
      </c>
      <c r="F231" s="7" t="s">
        <v>451</v>
      </c>
      <c r="G231" s="7" t="s">
        <v>30</v>
      </c>
      <c r="H231" s="7" t="s">
        <v>30</v>
      </c>
      <c r="I231" s="7" t="s">
        <v>35</v>
      </c>
      <c r="J231" s="8">
        <v>4</v>
      </c>
      <c r="K231" s="9">
        <v>1.97</v>
      </c>
      <c r="L231" s="7" t="s">
        <v>18</v>
      </c>
      <c r="M231" s="61">
        <f>_xlfn.IFS(TableBets[[#This Row],[Win]]="Won",TableBets[[#This Row],[Stake]]*(TableBets[[#This Row],[Odds]]-1),AND(TableBets[[#This Row],[Win]]="Lost",TableBets[[#This Row],[BB]]&lt;&gt;"Y"),-TableBets[[#This Row],[Stake]],TableBets[[#This Row],[Win]]="Sold",-TableBets[[#This Row],[Stake]]+TableBets[[#This Row],[Sold for]],TRUE,0)</f>
        <v>3.88</v>
      </c>
      <c r="N231" s="15"/>
      <c r="R231" s="23">
        <f>TableBets[[#This Row],[Date]]</f>
        <v>44850</v>
      </c>
      <c r="S231" s="15">
        <f>TableBets[[#This Row],[Profit]]+$S230</f>
        <v>6.266420000000025</v>
      </c>
    </row>
    <row r="232" spans="1:19" x14ac:dyDescent="0.2">
      <c r="A232" s="19">
        <v>44850</v>
      </c>
      <c r="B232" s="7" t="s">
        <v>2</v>
      </c>
      <c r="C232" s="7" t="s">
        <v>452</v>
      </c>
      <c r="D232" s="7" t="s">
        <v>3</v>
      </c>
      <c r="E232" s="7" t="s">
        <v>6</v>
      </c>
      <c r="F232" s="7" t="s">
        <v>453</v>
      </c>
      <c r="G232" s="7" t="s">
        <v>32</v>
      </c>
      <c r="H232" s="7" t="s">
        <v>30</v>
      </c>
      <c r="I232" s="7" t="s">
        <v>41</v>
      </c>
      <c r="J232" s="8">
        <v>4</v>
      </c>
      <c r="K232" s="9">
        <v>1.81</v>
      </c>
      <c r="L232" s="7" t="s">
        <v>19</v>
      </c>
      <c r="M232" s="61">
        <f>_xlfn.IFS(TableBets[[#This Row],[Win]]="Won",TableBets[[#This Row],[Stake]]*(TableBets[[#This Row],[Odds]]-1),AND(TableBets[[#This Row],[Win]]="Lost",TableBets[[#This Row],[BB]]&lt;&gt;"Y"),-TableBets[[#This Row],[Stake]],TableBets[[#This Row],[Win]]="Sold",-TableBets[[#This Row],[Stake]]+TableBets[[#This Row],[Sold for]],TRUE,0)</f>
        <v>-4</v>
      </c>
      <c r="N232" s="15"/>
      <c r="R232" s="23">
        <f>TableBets[[#This Row],[Date]]</f>
        <v>44850</v>
      </c>
      <c r="S232" s="15">
        <f>TableBets[[#This Row],[Profit]]+$S231</f>
        <v>2.266420000000025</v>
      </c>
    </row>
    <row r="233" spans="1:19" x14ac:dyDescent="0.2">
      <c r="A233" s="19">
        <v>44850</v>
      </c>
      <c r="B233" s="7" t="s">
        <v>478</v>
      </c>
      <c r="C233" s="7" t="s">
        <v>454</v>
      </c>
      <c r="D233" s="7" t="s">
        <v>3</v>
      </c>
      <c r="E233" s="7" t="s">
        <v>6</v>
      </c>
      <c r="F233" s="7" t="s">
        <v>455</v>
      </c>
      <c r="G233" s="7" t="s">
        <v>30</v>
      </c>
      <c r="H233" s="7" t="s">
        <v>30</v>
      </c>
      <c r="I233" s="7" t="s">
        <v>456</v>
      </c>
      <c r="J233" s="8">
        <v>4</v>
      </c>
      <c r="K233" s="9">
        <v>2.12</v>
      </c>
      <c r="L233" s="7" t="s">
        <v>19</v>
      </c>
      <c r="M233" s="61">
        <f>_xlfn.IFS(TableBets[[#This Row],[Win]]="Won",TableBets[[#This Row],[Stake]]*(TableBets[[#This Row],[Odds]]-1),AND(TableBets[[#This Row],[Win]]="Lost",TableBets[[#This Row],[BB]]&lt;&gt;"Y"),-TableBets[[#This Row],[Stake]],TableBets[[#This Row],[Win]]="Sold",-TableBets[[#This Row],[Stake]]+TableBets[[#This Row],[Sold for]],TRUE,0)</f>
        <v>-4</v>
      </c>
      <c r="N233" s="15"/>
      <c r="R233" s="23">
        <f>TableBets[[#This Row],[Date]]</f>
        <v>44850</v>
      </c>
      <c r="S233" s="15">
        <f>TableBets[[#This Row],[Profit]]+$S232</f>
        <v>-1.733579999999975</v>
      </c>
    </row>
    <row r="234" spans="1:19" x14ac:dyDescent="0.2">
      <c r="A234" s="19">
        <v>44850</v>
      </c>
      <c r="B234" s="7" t="s">
        <v>2</v>
      </c>
      <c r="C234" s="7" t="s">
        <v>457</v>
      </c>
      <c r="D234" s="7" t="s">
        <v>3</v>
      </c>
      <c r="E234" s="7" t="s">
        <v>6</v>
      </c>
      <c r="F234" s="7" t="s">
        <v>457</v>
      </c>
      <c r="G234" s="7" t="s">
        <v>32</v>
      </c>
      <c r="H234" s="7" t="s">
        <v>30</v>
      </c>
      <c r="I234" s="7" t="s">
        <v>91</v>
      </c>
      <c r="J234" s="8">
        <v>4</v>
      </c>
      <c r="K234" s="9">
        <v>2.39</v>
      </c>
      <c r="L234" s="7" t="s">
        <v>18</v>
      </c>
      <c r="M234" s="61">
        <f>_xlfn.IFS(TableBets[[#This Row],[Win]]="Won",TableBets[[#This Row],[Stake]]*(TableBets[[#This Row],[Odds]]-1),AND(TableBets[[#This Row],[Win]]="Lost",TableBets[[#This Row],[BB]]&lt;&gt;"Y"),-TableBets[[#This Row],[Stake]],TableBets[[#This Row],[Win]]="Sold",-TableBets[[#This Row],[Stake]]+TableBets[[#This Row],[Sold for]],TRUE,0)</f>
        <v>5.5600000000000005</v>
      </c>
      <c r="N234" s="15"/>
      <c r="R234" s="23">
        <f>TableBets[[#This Row],[Date]]</f>
        <v>44850</v>
      </c>
      <c r="S234" s="15">
        <f>TableBets[[#This Row],[Profit]]+$S233</f>
        <v>3.8264200000000255</v>
      </c>
    </row>
    <row r="235" spans="1:19" x14ac:dyDescent="0.2">
      <c r="A235" s="19">
        <v>44850</v>
      </c>
      <c r="B235" s="7" t="s">
        <v>2</v>
      </c>
      <c r="C235" s="7" t="s">
        <v>458</v>
      </c>
      <c r="D235" s="7" t="s">
        <v>3</v>
      </c>
      <c r="E235" s="7" t="s">
        <v>6</v>
      </c>
      <c r="F235" s="7" t="s">
        <v>459</v>
      </c>
      <c r="G235" s="7" t="s">
        <v>32</v>
      </c>
      <c r="H235" s="7" t="s">
        <v>30</v>
      </c>
      <c r="I235" s="7" t="s">
        <v>45</v>
      </c>
      <c r="J235" s="8">
        <v>4</v>
      </c>
      <c r="K235" s="9">
        <v>1.86</v>
      </c>
      <c r="L235" s="7" t="s">
        <v>19</v>
      </c>
      <c r="M235" s="61">
        <f>_xlfn.IFS(TableBets[[#This Row],[Win]]="Won",TableBets[[#This Row],[Stake]]*(TableBets[[#This Row],[Odds]]-1),AND(TableBets[[#This Row],[Win]]="Lost",TableBets[[#This Row],[BB]]&lt;&gt;"Y"),-TableBets[[#This Row],[Stake]],TableBets[[#This Row],[Win]]="Sold",-TableBets[[#This Row],[Stake]]+TableBets[[#This Row],[Sold for]],TRUE,0)</f>
        <v>-4</v>
      </c>
      <c r="N235" s="15"/>
      <c r="R235" s="23">
        <f>TableBets[[#This Row],[Date]]</f>
        <v>44850</v>
      </c>
      <c r="S235" s="15">
        <f>TableBets[[#This Row],[Profit]]+$S234</f>
        <v>-0.17357999999997453</v>
      </c>
    </row>
    <row r="236" spans="1:19" x14ac:dyDescent="0.2">
      <c r="A236" s="19">
        <v>44850</v>
      </c>
      <c r="B236" s="7" t="s">
        <v>2</v>
      </c>
      <c r="C236" s="7" t="s">
        <v>237</v>
      </c>
      <c r="D236" s="7" t="s">
        <v>3</v>
      </c>
      <c r="E236" s="7" t="s">
        <v>6</v>
      </c>
      <c r="F236" s="7" t="s">
        <v>460</v>
      </c>
      <c r="G236" s="7" t="s">
        <v>32</v>
      </c>
      <c r="H236" s="7" t="s">
        <v>30</v>
      </c>
      <c r="I236" s="7" t="s">
        <v>41</v>
      </c>
      <c r="J236" s="8">
        <v>4</v>
      </c>
      <c r="K236" s="9">
        <v>1.32</v>
      </c>
      <c r="L236" s="7" t="s">
        <v>19</v>
      </c>
      <c r="M236" s="61">
        <f>_xlfn.IFS(TableBets[[#This Row],[Win]]="Won",TableBets[[#This Row],[Stake]]*(TableBets[[#This Row],[Odds]]-1),AND(TableBets[[#This Row],[Win]]="Lost",TableBets[[#This Row],[BB]]&lt;&gt;"Y"),-TableBets[[#This Row],[Stake]],TableBets[[#This Row],[Win]]="Sold",-TableBets[[#This Row],[Stake]]+TableBets[[#This Row],[Sold for]],TRUE,0)</f>
        <v>-4</v>
      </c>
      <c r="N236" s="15"/>
      <c r="R236" s="23">
        <f>TableBets[[#This Row],[Date]]</f>
        <v>44850</v>
      </c>
      <c r="S236" s="15">
        <f>TableBets[[#This Row],[Profit]]+$S235</f>
        <v>-4.1735799999999745</v>
      </c>
    </row>
    <row r="237" spans="1:19" x14ac:dyDescent="0.2">
      <c r="A237" s="19">
        <v>44850</v>
      </c>
      <c r="B237" s="7" t="s">
        <v>2</v>
      </c>
      <c r="C237" s="7" t="s">
        <v>461</v>
      </c>
      <c r="D237" s="7" t="s">
        <v>13</v>
      </c>
      <c r="E237" s="7" t="s">
        <v>6</v>
      </c>
      <c r="F237" s="7" t="s">
        <v>462</v>
      </c>
      <c r="G237" s="7" t="s">
        <v>32</v>
      </c>
      <c r="H237" s="7" t="s">
        <v>30</v>
      </c>
      <c r="I237" s="7" t="s">
        <v>174</v>
      </c>
      <c r="J237" s="8">
        <v>4</v>
      </c>
      <c r="K237" s="9">
        <v>1.45</v>
      </c>
      <c r="L237" s="7" t="s">
        <v>19</v>
      </c>
      <c r="M237" s="61">
        <f>_xlfn.IFS(TableBets[[#This Row],[Win]]="Won",TableBets[[#This Row],[Stake]]*(TableBets[[#This Row],[Odds]]-1),AND(TableBets[[#This Row],[Win]]="Lost",TableBets[[#This Row],[BB]]&lt;&gt;"Y"),-TableBets[[#This Row],[Stake]],TableBets[[#This Row],[Win]]="Sold",-TableBets[[#This Row],[Stake]]+TableBets[[#This Row],[Sold for]],TRUE,0)</f>
        <v>-4</v>
      </c>
      <c r="N237" s="15"/>
      <c r="R237" s="23">
        <f>TableBets[[#This Row],[Date]]</f>
        <v>44850</v>
      </c>
      <c r="S237" s="15">
        <f>TableBets[[#This Row],[Profit]]+$S236</f>
        <v>-8.1735799999999745</v>
      </c>
    </row>
    <row r="238" spans="1:19" x14ac:dyDescent="0.2">
      <c r="A238" s="19">
        <v>44850</v>
      </c>
      <c r="B238" s="7" t="s">
        <v>2</v>
      </c>
      <c r="C238" s="7" t="s">
        <v>295</v>
      </c>
      <c r="D238" s="7" t="s">
        <v>3</v>
      </c>
      <c r="E238" s="7" t="s">
        <v>6</v>
      </c>
      <c r="F238" s="7" t="s">
        <v>463</v>
      </c>
      <c r="G238" s="7" t="s">
        <v>32</v>
      </c>
      <c r="H238" s="7" t="s">
        <v>30</v>
      </c>
      <c r="I238" s="7" t="s">
        <v>48</v>
      </c>
      <c r="J238" s="8">
        <v>4</v>
      </c>
      <c r="K238" s="9">
        <v>2.58</v>
      </c>
      <c r="L238" s="7" t="s">
        <v>19</v>
      </c>
      <c r="M238" s="61">
        <f>_xlfn.IFS(TableBets[[#This Row],[Win]]="Won",TableBets[[#This Row],[Stake]]*(TableBets[[#This Row],[Odds]]-1),AND(TableBets[[#This Row],[Win]]="Lost",TableBets[[#This Row],[BB]]&lt;&gt;"Y"),-TableBets[[#This Row],[Stake]],TableBets[[#This Row],[Win]]="Sold",-TableBets[[#This Row],[Stake]]+TableBets[[#This Row],[Sold for]],TRUE,0)</f>
        <v>-4</v>
      </c>
      <c r="N238" s="15"/>
      <c r="R238" s="23">
        <f>TableBets[[#This Row],[Date]]</f>
        <v>44850</v>
      </c>
      <c r="S238" s="15">
        <f>TableBets[[#This Row],[Profit]]+$S237</f>
        <v>-12.173579999999975</v>
      </c>
    </row>
    <row r="239" spans="1:19" x14ac:dyDescent="0.2">
      <c r="A239" s="19">
        <v>44850</v>
      </c>
      <c r="B239" s="7" t="s">
        <v>2</v>
      </c>
      <c r="C239" s="7" t="s">
        <v>464</v>
      </c>
      <c r="D239" s="7" t="s">
        <v>11</v>
      </c>
      <c r="E239" s="7" t="s">
        <v>6</v>
      </c>
      <c r="F239" s="7" t="s">
        <v>465</v>
      </c>
      <c r="G239" s="7" t="s">
        <v>30</v>
      </c>
      <c r="H239" s="7" t="s">
        <v>30</v>
      </c>
      <c r="I239" s="7" t="s">
        <v>48</v>
      </c>
      <c r="J239" s="8">
        <v>4</v>
      </c>
      <c r="K239" s="9">
        <v>1.53</v>
      </c>
      <c r="L239" s="7" t="s">
        <v>18</v>
      </c>
      <c r="M239" s="61">
        <f>_xlfn.IFS(TableBets[[#This Row],[Win]]="Won",TableBets[[#This Row],[Stake]]*(TableBets[[#This Row],[Odds]]-1),AND(TableBets[[#This Row],[Win]]="Lost",TableBets[[#This Row],[BB]]&lt;&gt;"Y"),-TableBets[[#This Row],[Stake]],TableBets[[#This Row],[Win]]="Sold",-TableBets[[#This Row],[Stake]]+TableBets[[#This Row],[Sold for]],TRUE,0)</f>
        <v>2.12</v>
      </c>
      <c r="N239" s="15"/>
      <c r="R239" s="23">
        <f>TableBets[[#This Row],[Date]]</f>
        <v>44850</v>
      </c>
      <c r="S239" s="15">
        <f>TableBets[[#This Row],[Profit]]+$S238</f>
        <v>-10.053579999999975</v>
      </c>
    </row>
    <row r="240" spans="1:19" x14ac:dyDescent="0.2">
      <c r="A240" s="19">
        <v>44851</v>
      </c>
      <c r="B240" s="7" t="s">
        <v>2</v>
      </c>
      <c r="C240" s="7" t="s">
        <v>466</v>
      </c>
      <c r="D240" s="7" t="s">
        <v>11</v>
      </c>
      <c r="E240" s="7" t="s">
        <v>6</v>
      </c>
      <c r="F240" s="7" t="s">
        <v>467</v>
      </c>
      <c r="G240" s="7" t="s">
        <v>30</v>
      </c>
      <c r="H240" s="7" t="s">
        <v>30</v>
      </c>
      <c r="I240" s="7" t="s">
        <v>35</v>
      </c>
      <c r="J240" s="8">
        <v>4</v>
      </c>
      <c r="K240" s="9">
        <v>1.45</v>
      </c>
      <c r="L240" s="7" t="s">
        <v>19</v>
      </c>
      <c r="M240" s="61">
        <f>_xlfn.IFS(TableBets[[#This Row],[Win]]="Won",TableBets[[#This Row],[Stake]]*(TableBets[[#This Row],[Odds]]-1),AND(TableBets[[#This Row],[Win]]="Lost",TableBets[[#This Row],[BB]]&lt;&gt;"Y"),-TableBets[[#This Row],[Stake]],TableBets[[#This Row],[Win]]="Sold",-TableBets[[#This Row],[Stake]]+TableBets[[#This Row],[Sold for]],TRUE,0)</f>
        <v>-4</v>
      </c>
      <c r="N240" s="15"/>
      <c r="R240" s="23">
        <f>TableBets[[#This Row],[Date]]</f>
        <v>44851</v>
      </c>
      <c r="S240" s="15">
        <f>TableBets[[#This Row],[Profit]]+$S239</f>
        <v>-14.053579999999975</v>
      </c>
    </row>
    <row r="241" spans="1:19" x14ac:dyDescent="0.2">
      <c r="A241" s="19">
        <v>44851</v>
      </c>
      <c r="B241" s="7" t="s">
        <v>2</v>
      </c>
      <c r="C241" s="7" t="s">
        <v>468</v>
      </c>
      <c r="D241" s="7" t="s">
        <v>11</v>
      </c>
      <c r="E241" s="7" t="s">
        <v>6</v>
      </c>
      <c r="F241" s="7" t="s">
        <v>469</v>
      </c>
      <c r="G241" s="7" t="s">
        <v>32</v>
      </c>
      <c r="H241" s="7" t="s">
        <v>30</v>
      </c>
      <c r="I241" s="7" t="s">
        <v>35</v>
      </c>
      <c r="J241" s="8">
        <v>4</v>
      </c>
      <c r="K241" s="9">
        <v>1.39</v>
      </c>
      <c r="L241" s="7" t="s">
        <v>18</v>
      </c>
      <c r="M241" s="8">
        <f>_xlfn.IFS(TableBets[[#This Row],[Win]]="Won",TableBets[[#This Row],[Stake]]*(TableBets[[#This Row],[Odds]]-1),AND(TableBets[[#This Row],[Win]]="Lost",TableBets[[#This Row],[BB]]&lt;&gt;"Y"),-TableBets[[#This Row],[Stake]],TableBets[[#This Row],[Win]]="Sold",-TableBets[[#This Row],[Stake]]+TableBets[[#This Row],[Sold for]],TRUE,0)</f>
        <v>1.5599999999999996</v>
      </c>
      <c r="N241" s="15"/>
      <c r="R241" s="23">
        <f>TableBets[[#This Row],[Date]]</f>
        <v>44851</v>
      </c>
      <c r="S241" s="15">
        <f>TableBets[[#This Row],[Profit]]+$S240</f>
        <v>-12.493579999999977</v>
      </c>
    </row>
    <row r="242" spans="1:19" x14ac:dyDescent="0.2">
      <c r="A242" s="19">
        <v>44851</v>
      </c>
      <c r="B242" s="7" t="s">
        <v>2</v>
      </c>
      <c r="C242" s="7" t="s">
        <v>402</v>
      </c>
      <c r="D242" s="7" t="s">
        <v>3</v>
      </c>
      <c r="E242" s="7" t="s">
        <v>6</v>
      </c>
      <c r="F242" s="7" t="s">
        <v>471</v>
      </c>
      <c r="G242" s="7" t="s">
        <v>32</v>
      </c>
      <c r="H242" s="7" t="s">
        <v>30</v>
      </c>
      <c r="I242" s="7" t="s">
        <v>143</v>
      </c>
      <c r="J242" s="8">
        <v>4</v>
      </c>
      <c r="K242" s="9">
        <v>2.16</v>
      </c>
      <c r="L242" s="7" t="s">
        <v>19</v>
      </c>
      <c r="M242" s="8">
        <f>_xlfn.IFS(TableBets[[#This Row],[Win]]="Won",TableBets[[#This Row],[Stake]]*(TableBets[[#This Row],[Odds]]-1),AND(TableBets[[#This Row],[Win]]="Lost",TableBets[[#This Row],[BB]]&lt;&gt;"Y"),-TableBets[[#This Row],[Stake]],TableBets[[#This Row],[Win]]="Sold",-TableBets[[#This Row],[Stake]]+TableBets[[#This Row],[Sold for]],TRUE,0)</f>
        <v>-4</v>
      </c>
      <c r="N242" s="62"/>
      <c r="R242" s="23">
        <f>TableBets[[#This Row],[Date]]</f>
        <v>44851</v>
      </c>
      <c r="S242" s="15">
        <f>TableBets[[#This Row],[Profit]]+$S241</f>
        <v>-16.493579999999977</v>
      </c>
    </row>
    <row r="243" spans="1:19" x14ac:dyDescent="0.2">
      <c r="A243" s="19">
        <v>44851</v>
      </c>
      <c r="B243" s="7" t="s">
        <v>2</v>
      </c>
      <c r="C243" s="7" t="s">
        <v>402</v>
      </c>
      <c r="D243" s="7" t="s">
        <v>3</v>
      </c>
      <c r="E243" s="7" t="s">
        <v>6</v>
      </c>
      <c r="F243" s="7" t="s">
        <v>471</v>
      </c>
      <c r="G243" s="7" t="s">
        <v>32</v>
      </c>
      <c r="H243" s="7" t="s">
        <v>32</v>
      </c>
      <c r="I243" s="7" t="s">
        <v>143</v>
      </c>
      <c r="J243" s="8">
        <v>11.46</v>
      </c>
      <c r="K243" s="9">
        <v>1.95</v>
      </c>
      <c r="L243" s="7" t="s">
        <v>19</v>
      </c>
      <c r="M243" s="8">
        <f>_xlfn.IFS(TableBets[[#This Row],[Win]]="Won",TableBets[[#This Row],[Stake]]*(TableBets[[#This Row],[Odds]]-1),AND(TableBets[[#This Row],[Win]]="Lost",TableBets[[#This Row],[BB]]&lt;&gt;"Y"),-TableBets[[#This Row],[Stake]],TableBets[[#This Row],[Win]]="Sold",-TableBets[[#This Row],[Stake]]+TableBets[[#This Row],[Sold for]],TRUE,0)</f>
        <v>0</v>
      </c>
      <c r="N243" s="62"/>
      <c r="R243" s="23">
        <f>TableBets[[#This Row],[Date]]</f>
        <v>44851</v>
      </c>
      <c r="S243" s="15">
        <f>TableBets[[#This Row],[Profit]]+$S242</f>
        <v>-16.493579999999977</v>
      </c>
    </row>
    <row r="244" spans="1:19" x14ac:dyDescent="0.2">
      <c r="A244" s="19">
        <v>44851</v>
      </c>
      <c r="B244" s="7" t="s">
        <v>478</v>
      </c>
      <c r="C244" s="7" t="s">
        <v>472</v>
      </c>
      <c r="D244" s="7" t="s">
        <v>8</v>
      </c>
      <c r="E244" s="7" t="s">
        <v>473</v>
      </c>
      <c r="F244" s="7" t="s">
        <v>486</v>
      </c>
      <c r="G244" s="7" t="s">
        <v>32</v>
      </c>
      <c r="H244" s="7" t="s">
        <v>30</v>
      </c>
      <c r="I244" s="7" t="s">
        <v>65</v>
      </c>
      <c r="J244" s="8">
        <v>0.51</v>
      </c>
      <c r="K244" s="9">
        <v>4.87</v>
      </c>
      <c r="L244" s="7" t="s">
        <v>19</v>
      </c>
      <c r="M244" s="8">
        <f>_xlfn.IFS(TableBets[[#This Row],[Win]]="Won",TableBets[[#This Row],[Stake]]*(TableBets[[#This Row],[Odds]]-1),AND(TableBets[[#This Row],[Win]]="Lost",TableBets[[#This Row],[BB]]&lt;&gt;"Y"),-TableBets[[#This Row],[Stake]],TableBets[[#This Row],[Win]]="Sold",-TableBets[[#This Row],[Stake]]+TableBets[[#This Row],[Sold for]],TRUE,0)</f>
        <v>-0.51</v>
      </c>
      <c r="N244" s="62"/>
      <c r="R244" s="23">
        <f>TableBets[[#This Row],[Date]]</f>
        <v>44851</v>
      </c>
      <c r="S244" s="15">
        <f>TableBets[[#This Row],[Profit]]+$S243</f>
        <v>-17.003579999999978</v>
      </c>
    </row>
    <row r="245" spans="1:19" x14ac:dyDescent="0.2">
      <c r="A245" s="19">
        <v>44851</v>
      </c>
      <c r="B245" s="7" t="s">
        <v>478</v>
      </c>
      <c r="C245" s="7" t="s">
        <v>474</v>
      </c>
      <c r="D245" s="7" t="s">
        <v>8</v>
      </c>
      <c r="E245" s="7" t="s">
        <v>473</v>
      </c>
      <c r="F245" s="7" t="s">
        <v>475</v>
      </c>
      <c r="G245" s="7" t="s">
        <v>32</v>
      </c>
      <c r="H245" s="7" t="s">
        <v>30</v>
      </c>
      <c r="I245" s="7" t="s">
        <v>302</v>
      </c>
      <c r="J245" s="8">
        <v>4</v>
      </c>
      <c r="K245" s="9">
        <v>2.29</v>
      </c>
      <c r="L245" s="7" t="s">
        <v>20</v>
      </c>
      <c r="M245" s="8">
        <f>_xlfn.IFS(TableBets[[#This Row],[Win]]="Won",TableBets[[#This Row],[Stake]]*(TableBets[[#This Row],[Odds]]-1),AND(TableBets[[#This Row],[Win]]="Lost",TableBets[[#This Row],[BB]]&lt;&gt;"Y"),-TableBets[[#This Row],[Stake]],TableBets[[#This Row],[Win]]="Sold",-TableBets[[#This Row],[Stake]]+TableBets[[#This Row],[Sold for]],TRUE,0)</f>
        <v>0</v>
      </c>
      <c r="N245" s="62"/>
      <c r="R245" s="23">
        <f>TableBets[[#This Row],[Date]]</f>
        <v>44851</v>
      </c>
      <c r="S245" s="15">
        <f>TableBets[[#This Row],[Profit]]+$S244</f>
        <v>-17.003579999999978</v>
      </c>
    </row>
    <row r="246" spans="1:19" x14ac:dyDescent="0.2">
      <c r="A246" s="19">
        <v>44851</v>
      </c>
      <c r="B246" s="7" t="s">
        <v>2</v>
      </c>
      <c r="C246" s="7" t="s">
        <v>331</v>
      </c>
      <c r="D246" s="7" t="s">
        <v>3</v>
      </c>
      <c r="E246" s="7" t="s">
        <v>6</v>
      </c>
      <c r="F246" s="7" t="s">
        <v>476</v>
      </c>
      <c r="G246" s="7" t="s">
        <v>32</v>
      </c>
      <c r="H246" s="7" t="s">
        <v>30</v>
      </c>
      <c r="I246" s="7" t="s">
        <v>77</v>
      </c>
      <c r="J246" s="8">
        <v>4</v>
      </c>
      <c r="K246" s="9">
        <v>1.42</v>
      </c>
      <c r="L246" s="7" t="s">
        <v>19</v>
      </c>
      <c r="M246" s="8">
        <f>_xlfn.IFS(TableBets[[#This Row],[Win]]="Won",TableBets[[#This Row],[Stake]]*(TableBets[[#This Row],[Odds]]-1),AND(TableBets[[#This Row],[Win]]="Lost",TableBets[[#This Row],[BB]]&lt;&gt;"Y"),-TableBets[[#This Row],[Stake]],TableBets[[#This Row],[Win]]="Sold",-TableBets[[#This Row],[Stake]]+TableBets[[#This Row],[Sold for]],TRUE,0)</f>
        <v>-4</v>
      </c>
      <c r="N246" s="62"/>
      <c r="R246" s="23">
        <f>TableBets[[#This Row],[Date]]</f>
        <v>44851</v>
      </c>
      <c r="S246" s="15">
        <f>TableBets[[#This Row],[Profit]]+$S245</f>
        <v>-21.003579999999978</v>
      </c>
    </row>
    <row r="247" spans="1:19" x14ac:dyDescent="0.2">
      <c r="A247" s="19">
        <v>44851</v>
      </c>
      <c r="B247" s="7" t="s">
        <v>2</v>
      </c>
      <c r="C247" s="7" t="s">
        <v>57</v>
      </c>
      <c r="D247" s="7" t="s">
        <v>3</v>
      </c>
      <c r="E247" s="7" t="s">
        <v>6</v>
      </c>
      <c r="F247" s="7" t="s">
        <v>477</v>
      </c>
      <c r="G247" s="7" t="s">
        <v>30</v>
      </c>
      <c r="H247" s="7" t="s">
        <v>30</v>
      </c>
      <c r="I247" s="7"/>
      <c r="J247" s="8">
        <v>4</v>
      </c>
      <c r="K247" s="9">
        <v>1.41</v>
      </c>
      <c r="L247" s="7" t="s">
        <v>17</v>
      </c>
      <c r="M247" s="8">
        <f>_xlfn.IFS(TableBets[[#This Row],[Win]]="Won",TableBets[[#This Row],[Stake]]*(TableBets[[#This Row],[Odds]]-1),AND(TableBets[[#This Row],[Win]]="Lost",TableBets[[#This Row],[BB]]&lt;&gt;"Y"),-TableBets[[#This Row],[Stake]],TableBets[[#This Row],[Win]]="Sold",-TableBets[[#This Row],[Stake]]+TableBets[[#This Row],[Sold for]],TRUE,0)</f>
        <v>0</v>
      </c>
      <c r="N247" s="62"/>
      <c r="R247" s="23">
        <f>TableBets[[#This Row],[Date]]</f>
        <v>44851</v>
      </c>
      <c r="S247" s="15">
        <f>TableBets[[#This Row],[Profit]]+$S246</f>
        <v>-21.003579999999978</v>
      </c>
    </row>
    <row r="248" spans="1:19" x14ac:dyDescent="0.2">
      <c r="A248" s="19">
        <v>44851</v>
      </c>
      <c r="B248" s="7" t="s">
        <v>12</v>
      </c>
      <c r="C248" s="7" t="s">
        <v>479</v>
      </c>
      <c r="D248" s="7" t="s">
        <v>13</v>
      </c>
      <c r="E248" s="7" t="s">
        <v>9</v>
      </c>
      <c r="F248" s="7" t="s">
        <v>480</v>
      </c>
      <c r="G248" s="7" t="s">
        <v>30</v>
      </c>
      <c r="H248" s="7" t="s">
        <v>30</v>
      </c>
      <c r="I248" s="7"/>
      <c r="J248" s="8">
        <v>4</v>
      </c>
      <c r="K248" s="9">
        <v>1.68</v>
      </c>
      <c r="L248" s="7" t="s">
        <v>17</v>
      </c>
      <c r="M248" s="8">
        <f>_xlfn.IFS(TableBets[[#This Row],[Win]]="Won",TableBets[[#This Row],[Stake]]*(TableBets[[#This Row],[Odds]]-1),AND(TableBets[[#This Row],[Win]]="Lost",TableBets[[#This Row],[BB]]&lt;&gt;"Y"),-TableBets[[#This Row],[Stake]],TableBets[[#This Row],[Win]]="Sold",-TableBets[[#This Row],[Stake]]+TableBets[[#This Row],[Sold for]],TRUE,0)</f>
        <v>0</v>
      </c>
      <c r="N248" s="62"/>
      <c r="R248" s="23">
        <f>TableBets[[#This Row],[Date]]</f>
        <v>44851</v>
      </c>
      <c r="S248" s="15">
        <f>TableBets[[#This Row],[Profit]]+$S247</f>
        <v>-21.003579999999978</v>
      </c>
    </row>
    <row r="249" spans="1:19" x14ac:dyDescent="0.2">
      <c r="A249" s="19">
        <v>44851</v>
      </c>
      <c r="B249" s="7" t="s">
        <v>14</v>
      </c>
      <c r="C249" s="7" t="s">
        <v>481</v>
      </c>
      <c r="D249" s="7" t="s">
        <v>8</v>
      </c>
      <c r="E249" s="7" t="s">
        <v>9</v>
      </c>
      <c r="F249" s="7" t="s">
        <v>482</v>
      </c>
      <c r="G249" s="7" t="s">
        <v>30</v>
      </c>
      <c r="H249" s="7" t="s">
        <v>30</v>
      </c>
      <c r="I249" s="7"/>
      <c r="J249" s="8">
        <v>4</v>
      </c>
      <c r="K249" s="9">
        <v>1.96</v>
      </c>
      <c r="L249" s="7" t="s">
        <v>17</v>
      </c>
      <c r="M249" s="8">
        <f>_xlfn.IFS(TableBets[[#This Row],[Win]]="Won",TableBets[[#This Row],[Stake]]*(TableBets[[#This Row],[Odds]]-1),AND(TableBets[[#This Row],[Win]]="Lost",TableBets[[#This Row],[BB]]&lt;&gt;"Y"),-TableBets[[#This Row],[Stake]],TableBets[[#This Row],[Win]]="Sold",-TableBets[[#This Row],[Stake]]+TableBets[[#This Row],[Sold for]],TRUE,0)</f>
        <v>0</v>
      </c>
      <c r="N249" s="62"/>
    </row>
    <row r="250" spans="1:19" x14ac:dyDescent="0.2">
      <c r="A250" s="19">
        <v>44851</v>
      </c>
      <c r="B250" s="7" t="s">
        <v>478</v>
      </c>
      <c r="C250" s="7" t="s">
        <v>483</v>
      </c>
      <c r="D250" s="7" t="s">
        <v>8</v>
      </c>
      <c r="E250" s="7" t="s">
        <v>473</v>
      </c>
      <c r="F250" s="7" t="s">
        <v>484</v>
      </c>
      <c r="G250" s="7" t="s">
        <v>32</v>
      </c>
      <c r="H250" s="7" t="s">
        <v>30</v>
      </c>
      <c r="I250" s="7" t="s">
        <v>456</v>
      </c>
      <c r="J250" s="8">
        <v>4</v>
      </c>
      <c r="K250" s="9">
        <v>1.95</v>
      </c>
      <c r="L250" s="7" t="s">
        <v>20</v>
      </c>
      <c r="M250" s="8">
        <f>_xlfn.IFS(TableBets[[#This Row],[Win]]="Won",TableBets[[#This Row],[Stake]]*(TableBets[[#This Row],[Odds]]-1),AND(TableBets[[#This Row],[Win]]="Lost",TableBets[[#This Row],[BB]]&lt;&gt;"Y"),-TableBets[[#This Row],[Stake]],TableBets[[#This Row],[Win]]="Sold",-TableBets[[#This Row],[Stake]]+TableBets[[#This Row],[Sold for]],TRUE,0)</f>
        <v>0</v>
      </c>
      <c r="N250" s="62"/>
    </row>
    <row r="251" spans="1:19" x14ac:dyDescent="0.2">
      <c r="A251" s="19">
        <v>44851</v>
      </c>
      <c r="B251" s="7" t="s">
        <v>2</v>
      </c>
      <c r="C251" s="7" t="s">
        <v>483</v>
      </c>
      <c r="D251" s="7" t="s">
        <v>8</v>
      </c>
      <c r="E251" s="7" t="s">
        <v>473</v>
      </c>
      <c r="F251" s="7" t="s">
        <v>485</v>
      </c>
      <c r="G251" s="7" t="s">
        <v>30</v>
      </c>
      <c r="H251" s="7" t="s">
        <v>30</v>
      </c>
      <c r="I251" s="7"/>
      <c r="J251" s="8">
        <v>4</v>
      </c>
      <c r="K251" s="9">
        <v>2.2400000000000002</v>
      </c>
      <c r="L251" s="7" t="s">
        <v>17</v>
      </c>
      <c r="M251" s="8">
        <f>_xlfn.IFS(TableBets[[#This Row],[Win]]="Won",TableBets[[#This Row],[Stake]]*(TableBets[[#This Row],[Odds]]-1),AND(TableBets[[#This Row],[Win]]="Lost",TableBets[[#This Row],[BB]]&lt;&gt;"Y"),-TableBets[[#This Row],[Stake]],TableBets[[#This Row],[Win]]="Sold",-TableBets[[#This Row],[Stake]]+TableBets[[#This Row],[Sold for]],TRUE,0)</f>
        <v>0</v>
      </c>
      <c r="N251" s="62"/>
    </row>
  </sheetData>
  <conditionalFormatting sqref="A2:M251">
    <cfRule type="expression" dxfId="6" priority="56" stopIfTrue="1">
      <formula>AND($J2&gt;0,$L2="Refund")</formula>
    </cfRule>
    <cfRule type="expression" dxfId="5" priority="57" stopIfTrue="1">
      <formula>AND($J2&gt;0,$L2="Lost")</formula>
    </cfRule>
    <cfRule type="expression" dxfId="4" priority="58" stopIfTrue="1">
      <formula>AND($J2&gt;0,$L2="Won")</formula>
    </cfRule>
    <cfRule type="expression" dxfId="3" priority="59" stopIfTrue="1">
      <formula>$L2="Acca"</formula>
    </cfRule>
    <cfRule type="expression" dxfId="2" priority="60" stopIfTrue="1">
      <formula>AND($J2&gt;0,$L2="Pending")</formula>
    </cfRule>
  </conditionalFormatting>
  <conditionalFormatting sqref="A2:N251">
    <cfRule type="expression" dxfId="1" priority="3" stopIfTrue="1">
      <formula>AND($J2&gt;0,$L2="Sold")</formula>
    </cfRule>
  </conditionalFormatting>
  <conditionalFormatting sqref="N2:N251">
    <cfRule type="expression" dxfId="0" priority="1">
      <formula>$L2&lt;&gt;"Sold"</formula>
    </cfRule>
  </conditionalFormatting>
  <dataValidations count="5">
    <dataValidation type="list" allowBlank="1" showInputMessage="1" showErrorMessage="1" sqref="E2:E82" xr:uid="{A59CAF9C-AD0D-4598-B4F4-8E2086A5946B}">
      <formula1>listTipster</formula1>
    </dataValidation>
    <dataValidation type="list" allowBlank="1" showInputMessage="1" showErrorMessage="1" sqref="B2:B251" xr:uid="{50A0BA38-9146-4275-9C27-25556FF34F7D}">
      <formula1>listSport</formula1>
    </dataValidation>
    <dataValidation type="list" allowBlank="1" showInputMessage="1" showErrorMessage="1" sqref="D2:D251" xr:uid="{FA8A8B4C-27BC-447B-B380-E84C74ED2081}">
      <formula1>listBetType</formula1>
    </dataValidation>
    <dataValidation type="list" allowBlank="1" showInputMessage="1" showErrorMessage="1" sqref="L2:L251" xr:uid="{9BA95D35-D1F9-4C3B-B56B-E5F087DE9B93}">
      <formula1>listBetOutcome</formula1>
    </dataValidation>
    <dataValidation type="list" allowBlank="1" showInputMessage="1" showErrorMessage="1" sqref="G2:H251" xr:uid="{AE1B9A3E-1135-4B32-976E-626F86260AE5}">
      <formula1>listYesNo</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104" r:id="rId4" name="removeBet">
          <controlPr defaultSize="0" autoLine="0" r:id="rId5">
            <anchor moveWithCells="1">
              <from>
                <xdr:col>13</xdr:col>
                <xdr:colOff>733425</xdr:colOff>
                <xdr:row>222</xdr:row>
                <xdr:rowOff>19050</xdr:rowOff>
              </from>
              <to>
                <xdr:col>15</xdr:col>
                <xdr:colOff>552450</xdr:colOff>
                <xdr:row>224</xdr:row>
                <xdr:rowOff>19050</xdr:rowOff>
              </to>
            </anchor>
          </controlPr>
        </control>
      </mc:Choice>
      <mc:Fallback>
        <control shapeId="4104" r:id="rId4" name="removeBet"/>
      </mc:Fallback>
    </mc:AlternateContent>
    <mc:AlternateContent xmlns:mc="http://schemas.openxmlformats.org/markup-compatibility/2006">
      <mc:Choice Requires="x14">
        <control shapeId="4103" r:id="rId6" name="newBet">
          <controlPr defaultSize="0" autoLine="0" r:id="rId7">
            <anchor moveWithCells="1">
              <from>
                <xdr:col>13</xdr:col>
                <xdr:colOff>733425</xdr:colOff>
                <xdr:row>220</xdr:row>
                <xdr:rowOff>9525</xdr:rowOff>
              </from>
              <to>
                <xdr:col>15</xdr:col>
                <xdr:colOff>552450</xdr:colOff>
                <xdr:row>222</xdr:row>
                <xdr:rowOff>9525</xdr:rowOff>
              </to>
            </anchor>
          </controlPr>
        </control>
      </mc:Choice>
      <mc:Fallback>
        <control shapeId="4103" r:id="rId6" name="newBet"/>
      </mc:Fallback>
    </mc:AlternateContent>
    <mc:AlternateContent xmlns:mc="http://schemas.openxmlformats.org/markup-compatibility/2006">
      <mc:Choice Requires="x14">
        <control shapeId="4115" r:id="rId8" name="resetBets">
          <controlPr defaultSize="0" autoLine="0" r:id="rId9">
            <anchor moveWithCells="1">
              <from>
                <xdr:col>15</xdr:col>
                <xdr:colOff>600075</xdr:colOff>
                <xdr:row>1</xdr:row>
                <xdr:rowOff>152400</xdr:rowOff>
              </from>
              <to>
                <xdr:col>16</xdr:col>
                <xdr:colOff>714375</xdr:colOff>
                <xdr:row>3</xdr:row>
                <xdr:rowOff>152400</xdr:rowOff>
              </to>
            </anchor>
          </controlPr>
        </control>
      </mc:Choice>
      <mc:Fallback>
        <control shapeId="4115" r:id="rId8" name="resetBets"/>
      </mc:Fallback>
    </mc:AlternateContent>
  </controls>
  <tableParts count="2">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8B64-C893-42AA-8D10-6E03EDEA0D0F}">
  <sheetPr codeName="Sheet5"/>
  <dimension ref="A1:C3"/>
  <sheetViews>
    <sheetView workbookViewId="0">
      <selection activeCell="C39" sqref="C39"/>
    </sheetView>
  </sheetViews>
  <sheetFormatPr defaultRowHeight="14.25" x14ac:dyDescent="0.2"/>
  <cols>
    <col min="1" max="1" width="9.77734375" customWidth="1"/>
    <col min="2" max="2" width="15.44140625" customWidth="1"/>
    <col min="3" max="3" width="10.77734375" customWidth="1"/>
  </cols>
  <sheetData>
    <row r="1" spans="1:3" x14ac:dyDescent="0.2">
      <c r="A1" s="3" t="s">
        <v>21</v>
      </c>
      <c r="B1" s="3" t="s">
        <v>349</v>
      </c>
      <c r="C1" s="3" t="s">
        <v>350</v>
      </c>
    </row>
    <row r="2" spans="1:3" x14ac:dyDescent="0.2">
      <c r="A2" s="14">
        <v>44824</v>
      </c>
      <c r="B2" t="s">
        <v>351</v>
      </c>
      <c r="C2" s="15">
        <v>50</v>
      </c>
    </row>
    <row r="3" spans="1:3" x14ac:dyDescent="0.2">
      <c r="A3" s="14">
        <v>44843</v>
      </c>
      <c r="B3" t="s">
        <v>351</v>
      </c>
      <c r="C3" s="15">
        <v>50</v>
      </c>
    </row>
  </sheetData>
  <dataValidations count="1">
    <dataValidation type="list" allowBlank="1" showInputMessage="1" showErrorMessage="1" sqref="B2:B3" xr:uid="{AFD634A7-5177-4EDB-9D47-52EF3D18CECF}">
      <formula1>listMovement</formula1>
    </dataValidation>
  </dataValidations>
  <pageMargins left="0.7" right="0.7" top="0.75" bottom="0.75" header="0.3" footer="0.3"/>
  <drawing r:id="rId1"/>
  <legacyDrawing r:id="rId2"/>
  <controls>
    <mc:AlternateContent xmlns:mc="http://schemas.openxmlformats.org/markup-compatibility/2006">
      <mc:Choice Requires="x14">
        <control shapeId="8195" r:id="rId3" name="removeMovement">
          <controlPr defaultSize="0" autoLine="0" r:id="rId4">
            <anchor moveWithCells="1">
              <from>
                <xdr:col>3</xdr:col>
                <xdr:colOff>47625</xdr:colOff>
                <xdr:row>2</xdr:row>
                <xdr:rowOff>0</xdr:rowOff>
              </from>
              <to>
                <xdr:col>4</xdr:col>
                <xdr:colOff>552450</xdr:colOff>
                <xdr:row>3</xdr:row>
                <xdr:rowOff>123825</xdr:rowOff>
              </to>
            </anchor>
          </controlPr>
        </control>
      </mc:Choice>
      <mc:Fallback>
        <control shapeId="8195" r:id="rId3" name="removeMovement"/>
      </mc:Fallback>
    </mc:AlternateContent>
    <mc:AlternateContent xmlns:mc="http://schemas.openxmlformats.org/markup-compatibility/2006">
      <mc:Choice Requires="x14">
        <control shapeId="8194" r:id="rId5" name="addMovement">
          <controlPr defaultSize="0" autoLine="0" r:id="rId6">
            <anchor moveWithCells="1">
              <from>
                <xdr:col>3</xdr:col>
                <xdr:colOff>47625</xdr:colOff>
                <xdr:row>0</xdr:row>
                <xdr:rowOff>19050</xdr:rowOff>
              </from>
              <to>
                <xdr:col>4</xdr:col>
                <xdr:colOff>552450</xdr:colOff>
                <xdr:row>1</xdr:row>
                <xdr:rowOff>142875</xdr:rowOff>
              </to>
            </anchor>
          </controlPr>
        </control>
      </mc:Choice>
      <mc:Fallback>
        <control shapeId="8194" r:id="rId5" name="addMovement"/>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BC21-D5B2-4892-8DB9-BA41E06EBC61}">
  <sheetPr codeName="Sheet6"/>
  <dimension ref="A1:AG33"/>
  <sheetViews>
    <sheetView showGridLines="0" zoomScaleNormal="100" workbookViewId="0">
      <selection activeCell="Y3" sqref="Y3"/>
    </sheetView>
  </sheetViews>
  <sheetFormatPr defaultRowHeight="14.25" x14ac:dyDescent="0.2"/>
  <cols>
    <col min="1" max="1" width="11.88671875" bestFit="1" customWidth="1"/>
    <col min="2" max="2" width="13.21875" bestFit="1" customWidth="1"/>
    <col min="3" max="3" width="11.88671875" bestFit="1" customWidth="1"/>
    <col min="4" max="4" width="13" bestFit="1" customWidth="1"/>
    <col min="5" max="5" width="13.21875" bestFit="1" customWidth="1"/>
    <col min="6" max="6" width="12.88671875" bestFit="1" customWidth="1"/>
    <col min="7" max="7" width="13" bestFit="1" customWidth="1"/>
    <col min="8" max="9" width="13.21875" bestFit="1" customWidth="1"/>
    <col min="10" max="10" width="13" bestFit="1" customWidth="1"/>
    <col min="11" max="11" width="16.77734375" bestFit="1" customWidth="1"/>
    <col min="12" max="12" width="13.44140625" bestFit="1" customWidth="1"/>
    <col min="14" max="14" width="13" bestFit="1" customWidth="1"/>
    <col min="15" max="15" width="13.44140625" bestFit="1" customWidth="1"/>
    <col min="17" max="17" width="13" bestFit="1" customWidth="1"/>
    <col min="18" max="18" width="13.44140625" bestFit="1" customWidth="1"/>
    <col min="19" max="19" width="8" bestFit="1" customWidth="1"/>
    <col min="20" max="20" width="7.109375" bestFit="1" customWidth="1"/>
    <col min="21" max="21" width="8.44140625" bestFit="1" customWidth="1"/>
    <col min="22" max="22" width="17" bestFit="1" customWidth="1"/>
    <col min="23" max="23" width="13.44140625" bestFit="1" customWidth="1"/>
    <col min="24" max="24" width="11.88671875" bestFit="1" customWidth="1"/>
    <col min="25" max="25" width="13" bestFit="1" customWidth="1"/>
    <col min="26" max="26" width="16.6640625" bestFit="1" customWidth="1"/>
    <col min="27" max="27" width="12.109375" bestFit="1" customWidth="1"/>
    <col min="28" max="29" width="4.5546875" bestFit="1" customWidth="1"/>
    <col min="31" max="31" width="13" bestFit="1" customWidth="1"/>
    <col min="32" max="32" width="13.44140625" bestFit="1" customWidth="1"/>
    <col min="33" max="33" width="12.109375" bestFit="1" customWidth="1"/>
  </cols>
  <sheetData>
    <row r="1" spans="1:33" x14ac:dyDescent="0.2">
      <c r="A1" s="17" t="s">
        <v>411</v>
      </c>
      <c r="B1" s="15">
        <f>IFERROR(GETPIVOTDATA("Profit",$A$3),0)</f>
        <v>-21.003579999999999</v>
      </c>
      <c r="D1" t="s">
        <v>412</v>
      </c>
      <c r="E1">
        <f>IFERROR(GETPIVOTDATA("Stake",$D$3),0)</f>
        <v>1004.9300000000002</v>
      </c>
      <c r="F1" s="25"/>
      <c r="G1" s="30" t="s">
        <v>413</v>
      </c>
      <c r="H1" s="44">
        <f>IFERROR(B1/E1,0&amp;"%")</f>
        <v>-2.090054033614281E-2</v>
      </c>
      <c r="N1" t="s">
        <v>380</v>
      </c>
      <c r="V1" s="21"/>
      <c r="W1" s="21"/>
    </row>
    <row r="2" spans="1:33" x14ac:dyDescent="0.2">
      <c r="G2" s="24"/>
      <c r="V2" s="21"/>
      <c r="W2" s="21"/>
    </row>
    <row r="3" spans="1:33" ht="15" x14ac:dyDescent="0.25">
      <c r="A3" s="26" t="s">
        <v>21</v>
      </c>
      <c r="B3" t="s">
        <v>394</v>
      </c>
      <c r="D3" s="16" t="s">
        <v>354</v>
      </c>
      <c r="E3" t="s">
        <v>382</v>
      </c>
      <c r="G3" t="s">
        <v>372</v>
      </c>
      <c r="H3">
        <f>IFERROR(GETPIVOTDATA("Count of Win",$G$5,"Win","Pending"),0)</f>
        <v>3</v>
      </c>
      <c r="K3" s="16" t="s">
        <v>354</v>
      </c>
      <c r="L3" t="s">
        <v>358</v>
      </c>
      <c r="N3" s="16" t="s">
        <v>354</v>
      </c>
      <c r="O3" t="s">
        <v>358</v>
      </c>
      <c r="Q3" s="32" t="s">
        <v>21</v>
      </c>
      <c r="R3" s="32" t="s">
        <v>381</v>
      </c>
      <c r="S3" s="32" t="s">
        <v>356</v>
      </c>
      <c r="V3" s="45" t="s">
        <v>354</v>
      </c>
      <c r="W3" s="46" t="s">
        <v>358</v>
      </c>
      <c r="Y3" s="16" t="s">
        <v>354</v>
      </c>
      <c r="Z3" t="s">
        <v>422</v>
      </c>
      <c r="AB3" s="32" t="s">
        <v>18</v>
      </c>
      <c r="AC3" s="32" t="s">
        <v>19</v>
      </c>
      <c r="AE3" t="str">
        <f>IFERROR(GETPIVOTDATA("Count of BB",$AE$4,"BB","Y"),0)&amp;" Bonus Bets w/"&amp;" Profit -&gt; "&amp;ROUND(IFERROR(GETPIVOTDATA("Sum of Profit",$AE$4,"BB","Y"),0),2)&amp;" €"</f>
        <v>1 Bonus Bets w/ Profit -&gt; 0 €</v>
      </c>
    </row>
    <row r="4" spans="1:33" ht="15" x14ac:dyDescent="0.25">
      <c r="A4" s="22">
        <v>44822</v>
      </c>
      <c r="B4" s="15">
        <v>5.3680000000000003</v>
      </c>
      <c r="D4" s="22">
        <v>44822</v>
      </c>
      <c r="E4" s="18">
        <v>8</v>
      </c>
      <c r="K4" s="17" t="s">
        <v>2</v>
      </c>
      <c r="L4" s="15">
        <v>-0.36157999999999557</v>
      </c>
      <c r="N4" s="22">
        <v>44851</v>
      </c>
      <c r="O4" s="15">
        <v>-10.95</v>
      </c>
      <c r="Q4" s="35">
        <f>IF(N10="",N4,N10)</f>
        <v>44845</v>
      </c>
      <c r="R4" s="36" t="str">
        <f>COUNTIFS(TableBets[Win],"Won",TableBets[Date],Q4)&amp;" : "&amp;COUNTIFS(TableBets[Win],"Lost",TableBets[Date],Q4)</f>
        <v>7 : 4</v>
      </c>
      <c r="S4" s="37">
        <f t="shared" ref="S4:S9" si="0">VLOOKUP($Q4,$N$4:$O$32,2,)</f>
        <v>9.0120000000000005</v>
      </c>
      <c r="V4" s="47" t="s">
        <v>3</v>
      </c>
      <c r="W4" s="49">
        <v>27.126339999999999</v>
      </c>
      <c r="Y4" s="17" t="s">
        <v>19</v>
      </c>
      <c r="Z4" s="39">
        <v>2.0138313052631585</v>
      </c>
      <c r="AB4" s="41">
        <f>IFERROR(GETPIVOTDATA("Odds",$Y$3,"Win","Won"),0)</f>
        <v>1.6386115107913677</v>
      </c>
      <c r="AC4" s="41">
        <f>IFERROR(GETPIVOTDATA("Odds",$Y$3,"Win","Lost"),0)</f>
        <v>2.0138313052631585</v>
      </c>
      <c r="AE4" s="16" t="s">
        <v>354</v>
      </c>
      <c r="AF4" t="s">
        <v>358</v>
      </c>
      <c r="AG4" t="s">
        <v>435</v>
      </c>
    </row>
    <row r="5" spans="1:33" ht="15" x14ac:dyDescent="0.25">
      <c r="A5" s="22">
        <v>44824</v>
      </c>
      <c r="B5" s="15">
        <v>-6.64</v>
      </c>
      <c r="D5" s="22">
        <v>44824</v>
      </c>
      <c r="E5" s="18">
        <v>32</v>
      </c>
      <c r="G5" s="16" t="s">
        <v>354</v>
      </c>
      <c r="H5" t="s">
        <v>371</v>
      </c>
      <c r="I5" t="s">
        <v>382</v>
      </c>
      <c r="K5" s="17" t="s">
        <v>4</v>
      </c>
      <c r="L5" s="15">
        <v>-2.4520000000000017</v>
      </c>
      <c r="N5" s="22">
        <v>44850</v>
      </c>
      <c r="O5" s="15">
        <v>-7.9119999999999981</v>
      </c>
      <c r="Q5" s="35">
        <f>IF(N9="",N4,N9)</f>
        <v>44846</v>
      </c>
      <c r="R5" s="36" t="str">
        <f>COUNTIFS(TableBets[Win],"Won",TableBets[Date],Q5)&amp;" : "&amp;COUNTIFS(TableBets[Win],"Lost",TableBets[Date],Q5)</f>
        <v>8 : 0</v>
      </c>
      <c r="S5" s="37">
        <f t="shared" si="0"/>
        <v>21.728000000000002</v>
      </c>
      <c r="V5" s="47" t="s">
        <v>8</v>
      </c>
      <c r="W5" s="49">
        <v>-8.51</v>
      </c>
      <c r="Y5" s="17" t="s">
        <v>20</v>
      </c>
      <c r="Z5" s="39">
        <v>1.9019999999999999</v>
      </c>
      <c r="AB5" s="42" t="s">
        <v>374</v>
      </c>
      <c r="AC5" s="42"/>
      <c r="AE5" s="17" t="s">
        <v>32</v>
      </c>
      <c r="AF5" s="15">
        <v>0</v>
      </c>
      <c r="AG5" s="18">
        <v>1</v>
      </c>
    </row>
    <row r="6" spans="1:33" ht="15" x14ac:dyDescent="0.25">
      <c r="A6" s="22">
        <v>44825</v>
      </c>
      <c r="B6" s="15">
        <v>21.508000000000003</v>
      </c>
      <c r="D6" s="22">
        <v>44825</v>
      </c>
      <c r="E6" s="18">
        <v>62</v>
      </c>
      <c r="G6" s="17" t="s">
        <v>17</v>
      </c>
      <c r="H6" s="18">
        <v>3</v>
      </c>
      <c r="I6" s="15">
        <v>12</v>
      </c>
      <c r="K6" s="17" t="s">
        <v>7</v>
      </c>
      <c r="L6" s="15">
        <v>-4</v>
      </c>
      <c r="N6" s="22">
        <v>44849</v>
      </c>
      <c r="O6" s="15">
        <v>12.991999999999997</v>
      </c>
      <c r="Q6" s="35">
        <f>IF(N8="",N4,N8)</f>
        <v>44847</v>
      </c>
      <c r="R6" s="36" t="str">
        <f>COUNTIFS(TableBets[Win],"Won",TableBets[Date],Q6)&amp;" : "&amp;COUNTIFS(TableBets[Win],"Lost",TableBets[Date],Q6)</f>
        <v>3 : 3</v>
      </c>
      <c r="S6" s="37">
        <f t="shared" si="0"/>
        <v>-4.7839999999999998</v>
      </c>
      <c r="V6" s="47" t="s">
        <v>5</v>
      </c>
      <c r="W6" s="49">
        <v>0</v>
      </c>
      <c r="Y6" s="17" t="s">
        <v>18</v>
      </c>
      <c r="Z6" s="39">
        <v>1.6386115107913677</v>
      </c>
      <c r="AB6" s="43">
        <f>GETPIVOTDATA("Odds",$Y$3)</f>
        <v>1.79281081512605</v>
      </c>
      <c r="AC6" s="31"/>
      <c r="AE6" s="17" t="s">
        <v>30</v>
      </c>
      <c r="AF6" s="15">
        <v>-21.003579999999978</v>
      </c>
      <c r="AG6" s="18">
        <v>248</v>
      </c>
    </row>
    <row r="7" spans="1:33" ht="15" x14ac:dyDescent="0.25">
      <c r="A7" s="22">
        <v>44826</v>
      </c>
      <c r="B7" s="15">
        <v>-8.8199999999999985</v>
      </c>
      <c r="D7" s="22">
        <v>44826</v>
      </c>
      <c r="E7" s="18">
        <v>78</v>
      </c>
      <c r="G7" s="17" t="s">
        <v>360</v>
      </c>
      <c r="H7" s="18">
        <v>3</v>
      </c>
      <c r="I7" s="15">
        <v>12</v>
      </c>
      <c r="K7" s="17" t="s">
        <v>14</v>
      </c>
      <c r="L7" s="15">
        <v>-4</v>
      </c>
      <c r="N7" s="22">
        <v>44848</v>
      </c>
      <c r="O7" s="15">
        <v>9.48</v>
      </c>
      <c r="Q7" s="35">
        <f>IF(N7="",N4,N7)</f>
        <v>44848</v>
      </c>
      <c r="R7" s="36" t="str">
        <f>COUNTIFS(TableBets[Win],"Won",TableBets[Date],Q7)&amp;" : "&amp;COUNTIFS(TableBets[Win],"Lost",TableBets[Date],Q7)</f>
        <v>10 : 3</v>
      </c>
      <c r="S7" s="37">
        <f t="shared" si="0"/>
        <v>9.48</v>
      </c>
      <c r="V7" s="47" t="s">
        <v>13</v>
      </c>
      <c r="W7" s="49">
        <v>-24.34</v>
      </c>
      <c r="Y7" s="17" t="s">
        <v>360</v>
      </c>
      <c r="Z7" s="39">
        <v>1.79281081512605</v>
      </c>
      <c r="AE7" s="17" t="s">
        <v>360</v>
      </c>
      <c r="AF7" s="15">
        <v>-21.003579999999978</v>
      </c>
      <c r="AG7" s="18">
        <v>249</v>
      </c>
    </row>
    <row r="8" spans="1:33" ht="15" x14ac:dyDescent="0.25">
      <c r="A8" s="22">
        <v>44827</v>
      </c>
      <c r="B8" s="15">
        <v>-24.104000000000003</v>
      </c>
      <c r="D8" s="22">
        <v>44827</v>
      </c>
      <c r="E8" s="18">
        <v>76</v>
      </c>
      <c r="K8" s="17" t="s">
        <v>12</v>
      </c>
      <c r="L8" s="15">
        <v>-8</v>
      </c>
      <c r="N8" s="22">
        <v>44847</v>
      </c>
      <c r="O8" s="15">
        <v>-4.7839999999999998</v>
      </c>
      <c r="Q8" s="35">
        <f>IF(N6="",N4,N6)</f>
        <v>44849</v>
      </c>
      <c r="R8" s="36" t="str">
        <f>COUNTIFS(TableBets[Win],"Won",TableBets[Date],Q8)&amp;" : "&amp;COUNTIFS(TableBets[Win],"Lost",TableBets[Date],Q8)</f>
        <v>13 : 6</v>
      </c>
      <c r="S8" s="37">
        <f t="shared" si="0"/>
        <v>12.991999999999997</v>
      </c>
      <c r="V8" s="47" t="s">
        <v>11</v>
      </c>
      <c r="W8" s="49">
        <v>-9.2799200000000006</v>
      </c>
    </row>
    <row r="9" spans="1:33" ht="15" x14ac:dyDescent="0.25">
      <c r="A9" s="22">
        <v>44828</v>
      </c>
      <c r="B9" s="15">
        <v>-18.38</v>
      </c>
      <c r="D9" s="22">
        <v>44828</v>
      </c>
      <c r="E9" s="18">
        <v>38</v>
      </c>
      <c r="K9" s="17" t="s">
        <v>10</v>
      </c>
      <c r="L9" s="15">
        <v>2.3200000000000003</v>
      </c>
      <c r="N9" s="22">
        <v>44846</v>
      </c>
      <c r="O9" s="15">
        <v>21.728000000000002</v>
      </c>
      <c r="Q9" s="35">
        <f>IF(N5="",N4,N5)</f>
        <v>44850</v>
      </c>
      <c r="R9" s="36" t="str">
        <f>COUNTIFS(TableBets[Win],"Won",TableBets[Date],Q9)&amp;" : "&amp;COUNTIFS(TableBets[Win],"Lost",TableBets[Date],Q9)</f>
        <v>12 : 11</v>
      </c>
      <c r="S9" s="37">
        <f t="shared" si="0"/>
        <v>-7.9119999999999981</v>
      </c>
      <c r="V9" s="47" t="s">
        <v>15</v>
      </c>
      <c r="W9" s="49">
        <v>-6</v>
      </c>
      <c r="Y9" s="17" t="s">
        <v>427</v>
      </c>
      <c r="Z9" s="15">
        <f>MAX(TableBets[Profit])</f>
        <v>6.8000000000000007</v>
      </c>
      <c r="AA9" t="str">
        <f>ADDRESS(MATCH(Z9,TableBets[Profit],0)+1,MATCH("Profit",TableBets[#Headers],0),4)</f>
        <v>M205</v>
      </c>
    </row>
    <row r="10" spans="1:33" ht="15" x14ac:dyDescent="0.25">
      <c r="A10" s="22">
        <v>44829</v>
      </c>
      <c r="B10" s="15">
        <v>-12.259919999999999</v>
      </c>
      <c r="D10" s="22">
        <v>44829</v>
      </c>
      <c r="E10" s="18">
        <v>28.040000000000003</v>
      </c>
      <c r="G10" s="31" t="s">
        <v>359</v>
      </c>
      <c r="H10" s="31"/>
      <c r="I10" s="31"/>
      <c r="K10" s="17" t="s">
        <v>478</v>
      </c>
      <c r="L10" s="15">
        <v>-4.51</v>
      </c>
      <c r="N10" s="22">
        <v>44845</v>
      </c>
      <c r="O10" s="15">
        <v>9.0120000000000005</v>
      </c>
      <c r="Q10" s="35">
        <f>IF(N4="",N4,N4)</f>
        <v>44851</v>
      </c>
      <c r="R10" s="36" t="str">
        <f>COUNTIFS(TableBets[Win],"Won",TableBets[Date],Q10)&amp;" : "&amp;COUNTIFS(TableBets[Win],"Lost",TableBets[Date],Q10)</f>
        <v>1 : 5</v>
      </c>
      <c r="S10" s="37">
        <f>VLOOKUP($Q10,$N$4:$O$32,2,)</f>
        <v>-10.95</v>
      </c>
      <c r="V10" s="48" t="s">
        <v>374</v>
      </c>
      <c r="W10" s="49">
        <v>-21.003579999999999</v>
      </c>
      <c r="Y10" s="17" t="s">
        <v>428</v>
      </c>
      <c r="Z10" s="15">
        <f>MIN(TableBets[Profit])</f>
        <v>-9.07</v>
      </c>
      <c r="AA10" t="str">
        <f>ADDRESS(MATCH(Z10,TableBets[Profit],0)+1,MATCH("Profit",TableBets[#Headers],0),4)</f>
        <v>M147</v>
      </c>
    </row>
    <row r="11" spans="1:33" ht="15" x14ac:dyDescent="0.25">
      <c r="A11" s="22">
        <v>44830</v>
      </c>
      <c r="B11" s="15">
        <v>0.99664000000000019</v>
      </c>
      <c r="D11" s="22">
        <v>44830</v>
      </c>
      <c r="E11" s="18">
        <v>10.68</v>
      </c>
      <c r="G11" s="16" t="s">
        <v>354</v>
      </c>
      <c r="H11" t="s">
        <v>355</v>
      </c>
      <c r="K11" s="17" t="s">
        <v>374</v>
      </c>
      <c r="L11" s="15">
        <v>-21.003579999999999</v>
      </c>
      <c r="N11" s="22">
        <v>44844</v>
      </c>
      <c r="O11" s="15">
        <v>-4.5599999999999987</v>
      </c>
      <c r="Q11" s="38" t="s">
        <v>374</v>
      </c>
      <c r="R11" s="33" t="str">
        <f>COUNTIFS(TableBets[Win],"Won",TableBets[Date],Q4)+COUNTIFS(TableBets[Win],"Won",TableBets[Date],Q5)+COUNTIFS(TableBets[Win],"Won",TableBets[Date],Q6)+COUNTIFS(TableBets[Win],"Won",TableBets[Date],Q7)+COUNTIFS(TableBets[Win],"Won",TableBets[Date],Q8)+COUNTIFS(TableBets[Win],"Won",TableBets[Date],Q9)+COUNTIFS(TableBets[Win],"Won",TableBets[Date],Q10)&amp;" : "&amp;COUNTIFS(TableBets[Win],"Lost",TableBets[Date],Q4)+COUNTIFS(TableBets[Win],"Lost",TableBets[Date],Q5)+COUNTIFS(TableBets[Win],"Lost",TableBets[Date],Q6)+COUNTIFS(TableBets[Win],"Lost",TableBets[Date],Q7)+COUNTIFS(TableBets[Win],"Lost",TableBets[Date],Q8)+COUNTIFS(TableBets[Win],"Lost",TableBets[Date],Q9)+COUNTIFS(TableBets[Win],"Lost",TableBets[Date],Q10)</f>
        <v>54 : 32</v>
      </c>
      <c r="S11" s="34">
        <f>SUM(Analysis!S4:S10)</f>
        <v>29.566000000000006</v>
      </c>
      <c r="V11" s="21"/>
      <c r="W11" s="21"/>
    </row>
    <row r="12" spans="1:33" x14ac:dyDescent="0.2">
      <c r="A12" s="22">
        <v>44831</v>
      </c>
      <c r="B12" s="15">
        <v>13.327999999999999</v>
      </c>
      <c r="D12" s="22">
        <v>44831</v>
      </c>
      <c r="E12" s="18">
        <v>19.68</v>
      </c>
      <c r="G12" s="17" t="s">
        <v>351</v>
      </c>
      <c r="H12" s="29">
        <v>100</v>
      </c>
      <c r="N12" s="22">
        <v>44843</v>
      </c>
      <c r="O12" s="15">
        <v>-30.73</v>
      </c>
      <c r="V12" s="40"/>
      <c r="W12" s="21"/>
    </row>
    <row r="13" spans="1:33" x14ac:dyDescent="0.2">
      <c r="A13" s="22">
        <v>44832</v>
      </c>
      <c r="B13" s="15">
        <v>1.4400000000000004</v>
      </c>
      <c r="D13" s="22">
        <v>44832</v>
      </c>
      <c r="E13" s="18">
        <v>4</v>
      </c>
      <c r="I13" s="29">
        <f>IFERROR(GETPIVOTDATA("Value",$G$11,"Movement","Withdrawal"),0)</f>
        <v>0</v>
      </c>
      <c r="N13" s="22">
        <v>44842</v>
      </c>
      <c r="O13" s="15">
        <v>6.9999999999999396E-2</v>
      </c>
    </row>
    <row r="14" spans="1:33" x14ac:dyDescent="0.2">
      <c r="A14" s="22">
        <v>44833</v>
      </c>
      <c r="B14" s="15">
        <v>3.04</v>
      </c>
      <c r="D14" s="22">
        <v>44833</v>
      </c>
      <c r="E14" s="18">
        <v>4</v>
      </c>
      <c r="K14" s="50"/>
      <c r="L14" s="50"/>
      <c r="N14" s="22">
        <v>44841</v>
      </c>
      <c r="O14" s="15">
        <v>3.0599999999999987</v>
      </c>
    </row>
    <row r="15" spans="1:33" x14ac:dyDescent="0.2">
      <c r="A15" s="22">
        <v>44834</v>
      </c>
      <c r="B15" s="15">
        <v>-1.858299999999999</v>
      </c>
      <c r="D15" s="22">
        <v>44834</v>
      </c>
      <c r="E15" s="18">
        <v>33.489999999999995</v>
      </c>
      <c r="G15" t="s">
        <v>367</v>
      </c>
      <c r="K15" s="50" t="s">
        <v>357</v>
      </c>
      <c r="L15" s="51">
        <f>IFERROR(GETPIVOTDATA("Value",Analysis!$G$11,"Movement","Deposit"),0)</f>
        <v>100</v>
      </c>
      <c r="N15" s="22">
        <v>44840</v>
      </c>
      <c r="O15" s="15">
        <v>2.6799999999999997</v>
      </c>
    </row>
    <row r="16" spans="1:33" x14ac:dyDescent="0.2">
      <c r="A16" s="22">
        <v>44835</v>
      </c>
      <c r="B16" s="15">
        <v>1.92</v>
      </c>
      <c r="D16" s="22">
        <v>44835</v>
      </c>
      <c r="E16" s="18">
        <v>4</v>
      </c>
      <c r="G16" s="20">
        <f>IFERROR(L16*0.01,1)</f>
        <v>0.78996420000000034</v>
      </c>
      <c r="K16" s="50" t="s">
        <v>432</v>
      </c>
      <c r="L16" s="54">
        <f>IFERROR(Analysis!L15+SUM(TableBets[Profit]),0)</f>
        <v>78.996420000000029</v>
      </c>
      <c r="N16" s="22">
        <v>44839</v>
      </c>
      <c r="O16" s="15">
        <v>-1.88</v>
      </c>
      <c r="Q16" s="16" t="s">
        <v>354</v>
      </c>
      <c r="R16" t="s">
        <v>358</v>
      </c>
    </row>
    <row r="17" spans="1:28" x14ac:dyDescent="0.2">
      <c r="A17" s="22">
        <v>44836</v>
      </c>
      <c r="B17" s="15">
        <v>3.3200000000000003</v>
      </c>
      <c r="D17" s="22">
        <v>44836</v>
      </c>
      <c r="E17" s="18">
        <v>28</v>
      </c>
      <c r="G17" t="s">
        <v>368</v>
      </c>
      <c r="K17" s="52" t="s">
        <v>366</v>
      </c>
      <c r="L17" s="53">
        <f>IFERROR(Analysis!L15+SUM(TableBets[Profit])-IFERROR(GETPIVOTDATA("Sum of Stake",$G$5,"Win","Pending"),0),0)</f>
        <v>66.996420000000029</v>
      </c>
      <c r="N17" s="22">
        <v>44838</v>
      </c>
      <c r="O17" s="15">
        <v>-1.3680000000000003</v>
      </c>
      <c r="Q17" s="17" t="s">
        <v>473</v>
      </c>
      <c r="R17" s="15">
        <v>-0.51</v>
      </c>
      <c r="S17" s="15"/>
    </row>
    <row r="18" spans="1:28" x14ac:dyDescent="0.2">
      <c r="A18" s="22">
        <v>44837</v>
      </c>
      <c r="B18" s="15">
        <v>3.3000000000000003</v>
      </c>
      <c r="D18" s="22">
        <v>44837</v>
      </c>
      <c r="E18" s="18">
        <v>6</v>
      </c>
      <c r="G18">
        <v>4</v>
      </c>
      <c r="K18" s="50"/>
      <c r="L18" s="50"/>
      <c r="N18" s="22">
        <v>44837</v>
      </c>
      <c r="O18" s="15">
        <v>3.3000000000000003</v>
      </c>
      <c r="Q18" s="17" t="s">
        <v>6</v>
      </c>
      <c r="R18" s="15">
        <v>-4.4935799999999873</v>
      </c>
      <c r="S18" s="15"/>
    </row>
    <row r="19" spans="1:28" x14ac:dyDescent="0.2">
      <c r="A19" s="22">
        <v>44838</v>
      </c>
      <c r="B19" s="15">
        <v>-1.3680000000000003</v>
      </c>
      <c r="D19" s="22">
        <v>44838</v>
      </c>
      <c r="E19" s="18">
        <v>8</v>
      </c>
      <c r="G19" s="15" t="str">
        <f>G18&amp; " Unit = "&amp;ROUND(G18*G16,2)&amp;" €"</f>
        <v>4 Unit = 3,16 €</v>
      </c>
      <c r="N19" s="22">
        <v>44836</v>
      </c>
      <c r="O19" s="15">
        <v>3.3200000000000003</v>
      </c>
      <c r="Q19" s="17" t="s">
        <v>9</v>
      </c>
      <c r="R19" s="15">
        <v>-16</v>
      </c>
      <c r="S19" s="15"/>
    </row>
    <row r="20" spans="1:28" x14ac:dyDescent="0.2">
      <c r="A20" s="22">
        <v>44839</v>
      </c>
      <c r="B20" s="15">
        <v>-1.88</v>
      </c>
      <c r="D20" s="22">
        <v>44839</v>
      </c>
      <c r="E20" s="18">
        <v>8</v>
      </c>
      <c r="N20" s="22">
        <v>44835</v>
      </c>
      <c r="O20" s="15">
        <v>1.92</v>
      </c>
      <c r="Q20" s="17" t="s">
        <v>360</v>
      </c>
      <c r="R20" s="15">
        <v>-21.003579999999985</v>
      </c>
    </row>
    <row r="21" spans="1:28" x14ac:dyDescent="0.2">
      <c r="A21" s="22">
        <v>44840</v>
      </c>
      <c r="B21" s="15">
        <v>2.6799999999999997</v>
      </c>
      <c r="D21" s="22">
        <v>44840</v>
      </c>
      <c r="E21" s="18">
        <v>20</v>
      </c>
      <c r="J21" t="str">
        <f>"Year "&amp;YEAR(A4)</f>
        <v>Year 2022</v>
      </c>
      <c r="N21" s="22">
        <v>44834</v>
      </c>
      <c r="O21" s="15">
        <v>-1.858299999999999</v>
      </c>
    </row>
    <row r="22" spans="1:28" x14ac:dyDescent="0.2">
      <c r="A22" s="22">
        <v>44841</v>
      </c>
      <c r="B22" s="15">
        <v>3.0599999999999987</v>
      </c>
      <c r="D22" s="22">
        <v>44841</v>
      </c>
      <c r="E22" s="18">
        <v>38</v>
      </c>
      <c r="G22" s="16" t="s">
        <v>354</v>
      </c>
      <c r="H22" t="s">
        <v>358</v>
      </c>
      <c r="N22" s="22">
        <v>44833</v>
      </c>
      <c r="O22" s="15">
        <v>3.04</v>
      </c>
      <c r="V22" s="23"/>
      <c r="W22" s="18"/>
      <c r="AB22" s="39"/>
    </row>
    <row r="23" spans="1:28" x14ac:dyDescent="0.2">
      <c r="A23" s="22">
        <v>44842</v>
      </c>
      <c r="B23" s="15">
        <v>6.9999999999999396E-2</v>
      </c>
      <c r="D23" s="22">
        <v>44842</v>
      </c>
      <c r="E23" s="18">
        <v>28</v>
      </c>
      <c r="G23" s="17" t="s">
        <v>414</v>
      </c>
      <c r="H23" s="15">
        <v>-35.02928</v>
      </c>
      <c r="N23" s="22">
        <v>44832</v>
      </c>
      <c r="O23" s="15">
        <v>1.4400000000000004</v>
      </c>
    </row>
    <row r="24" spans="1:28" x14ac:dyDescent="0.2">
      <c r="A24" s="22">
        <v>44843</v>
      </c>
      <c r="B24" s="15">
        <v>-30.73</v>
      </c>
      <c r="D24" s="22">
        <v>44843</v>
      </c>
      <c r="E24" s="18">
        <v>51.07</v>
      </c>
      <c r="G24" s="17" t="s">
        <v>370</v>
      </c>
      <c r="H24" s="15">
        <v>14.025700000000008</v>
      </c>
      <c r="N24" s="22">
        <v>44831</v>
      </c>
      <c r="O24" s="15">
        <v>13.327999999999999</v>
      </c>
    </row>
    <row r="25" spans="1:28" x14ac:dyDescent="0.2">
      <c r="A25" s="22">
        <v>44844</v>
      </c>
      <c r="B25" s="15">
        <v>-4.5599999999999987</v>
      </c>
      <c r="D25" s="22">
        <v>44844</v>
      </c>
      <c r="E25" s="18">
        <v>44</v>
      </c>
      <c r="G25" s="17" t="s">
        <v>360</v>
      </c>
      <c r="H25" s="15">
        <v>-21.003579999999992</v>
      </c>
      <c r="N25" s="22">
        <v>44830</v>
      </c>
      <c r="O25" s="15">
        <v>0.99664000000000019</v>
      </c>
    </row>
    <row r="26" spans="1:28" x14ac:dyDescent="0.2">
      <c r="A26" s="22">
        <v>44845</v>
      </c>
      <c r="B26" s="15">
        <v>9.0120000000000005</v>
      </c>
      <c r="D26" s="22">
        <v>44845</v>
      </c>
      <c r="E26" s="18">
        <v>50</v>
      </c>
      <c r="N26" s="22">
        <v>44829</v>
      </c>
      <c r="O26" s="15">
        <v>-12.259919999999999</v>
      </c>
    </row>
    <row r="27" spans="1:28" x14ac:dyDescent="0.2">
      <c r="A27" s="22">
        <v>44846</v>
      </c>
      <c r="B27" s="15">
        <v>21.728000000000002</v>
      </c>
      <c r="D27" s="22">
        <v>44846</v>
      </c>
      <c r="E27" s="18">
        <v>32</v>
      </c>
      <c r="G27" s="16" t="s">
        <v>354</v>
      </c>
      <c r="H27" t="s">
        <v>415</v>
      </c>
      <c r="N27" s="22">
        <v>44828</v>
      </c>
      <c r="O27" s="15">
        <v>-18.38</v>
      </c>
    </row>
    <row r="28" spans="1:28" x14ac:dyDescent="0.2">
      <c r="A28" s="22">
        <v>44847</v>
      </c>
      <c r="B28" s="15">
        <v>-4.7839999999999998</v>
      </c>
      <c r="D28" s="22">
        <v>44847</v>
      </c>
      <c r="E28" s="18">
        <v>24</v>
      </c>
      <c r="G28" s="17" t="s">
        <v>18</v>
      </c>
      <c r="H28" s="18">
        <v>139</v>
      </c>
      <c r="N28" s="22">
        <v>44827</v>
      </c>
      <c r="O28" s="15">
        <v>-24.104000000000003</v>
      </c>
    </row>
    <row r="29" spans="1:28" x14ac:dyDescent="0.2">
      <c r="A29" s="22">
        <v>44848</v>
      </c>
      <c r="B29" s="15">
        <v>9.48</v>
      </c>
      <c r="D29" s="22">
        <v>44848</v>
      </c>
      <c r="E29" s="18">
        <v>56</v>
      </c>
      <c r="G29" s="17" t="s">
        <v>19</v>
      </c>
      <c r="H29" s="18">
        <v>95</v>
      </c>
      <c r="N29" s="22">
        <v>44826</v>
      </c>
      <c r="O29" s="15">
        <v>-8.8199999999999985</v>
      </c>
    </row>
    <row r="30" spans="1:28" x14ac:dyDescent="0.2">
      <c r="A30" s="22">
        <v>44849</v>
      </c>
      <c r="B30" s="15">
        <v>12.991999999999997</v>
      </c>
      <c r="D30" s="22">
        <v>44849</v>
      </c>
      <c r="E30" s="18">
        <v>74</v>
      </c>
      <c r="G30" s="17" t="s">
        <v>360</v>
      </c>
      <c r="H30" s="18">
        <v>234</v>
      </c>
      <c r="N30" s="22">
        <v>44825</v>
      </c>
      <c r="O30" s="15">
        <v>21.508000000000003</v>
      </c>
    </row>
    <row r="31" spans="1:28" x14ac:dyDescent="0.2">
      <c r="A31" s="22">
        <v>44850</v>
      </c>
      <c r="B31" s="15">
        <v>-7.9119999999999981</v>
      </c>
      <c r="D31" s="22">
        <v>44850</v>
      </c>
      <c r="E31" s="18">
        <v>92</v>
      </c>
      <c r="N31" s="22">
        <v>44824</v>
      </c>
      <c r="O31" s="15">
        <v>-6.64</v>
      </c>
    </row>
    <row r="32" spans="1:28" x14ac:dyDescent="0.2">
      <c r="A32" s="22">
        <v>44851</v>
      </c>
      <c r="B32" s="15">
        <v>-10.95</v>
      </c>
      <c r="D32" s="22">
        <v>44851</v>
      </c>
      <c r="E32" s="18">
        <v>47.97</v>
      </c>
      <c r="N32" s="22">
        <v>44822</v>
      </c>
      <c r="O32" s="15">
        <v>5.3680000000000003</v>
      </c>
    </row>
    <row r="33" spans="1:5" x14ac:dyDescent="0.2">
      <c r="A33" s="22" t="s">
        <v>360</v>
      </c>
      <c r="B33" s="15">
        <v>-21.003579999999999</v>
      </c>
      <c r="D33" s="22" t="s">
        <v>360</v>
      </c>
      <c r="E33" s="18">
        <v>1004.9300000000002</v>
      </c>
    </row>
  </sheetData>
  <pageMargins left="0.7" right="0.7" top="0.75" bottom="0.75" header="0.3" footer="0.3"/>
  <pageSetup paperSize="9" orientation="portrait" horizontalDpi="4294967293" verticalDpi="0" r:id="rId1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DF5A-C6AA-40CF-8286-3BED54D75E7C}">
  <sheetPr codeName="Sheet4"/>
  <dimension ref="A1:K8"/>
  <sheetViews>
    <sheetView workbookViewId="0">
      <selection activeCell="A9" sqref="A9"/>
    </sheetView>
  </sheetViews>
  <sheetFormatPr defaultRowHeight="14.25" x14ac:dyDescent="0.2"/>
  <cols>
    <col min="1" max="2" width="20.77734375" customWidth="1"/>
    <col min="3" max="3" width="16.77734375" customWidth="1"/>
    <col min="4" max="4" width="20.77734375" customWidth="1"/>
    <col min="5" max="5" width="14.88671875" customWidth="1"/>
    <col min="6" max="6" width="20.77734375" customWidth="1"/>
    <col min="7" max="7" width="22.21875" customWidth="1"/>
    <col min="8" max="8" width="20.77734375" customWidth="1"/>
    <col min="9" max="9" width="27.44140625" customWidth="1"/>
    <col min="11" max="11" width="11.6640625" bestFit="1" customWidth="1"/>
  </cols>
  <sheetData>
    <row r="1" spans="1:11" ht="16.5" x14ac:dyDescent="0.25">
      <c r="A1" s="13" t="s">
        <v>0</v>
      </c>
      <c r="B1" s="1"/>
      <c r="C1" s="13" t="s">
        <v>1</v>
      </c>
      <c r="E1" s="13" t="s">
        <v>346</v>
      </c>
      <c r="G1" s="13" t="s">
        <v>16</v>
      </c>
      <c r="I1" s="13" t="s">
        <v>353</v>
      </c>
      <c r="J1" s="1"/>
      <c r="K1" s="13" t="s">
        <v>436</v>
      </c>
    </row>
    <row r="2" spans="1:11" x14ac:dyDescent="0.2">
      <c r="A2" s="10" t="s">
        <v>2</v>
      </c>
      <c r="B2" s="2"/>
      <c r="C2" s="10" t="s">
        <v>3</v>
      </c>
      <c r="E2" s="10" t="s">
        <v>6</v>
      </c>
      <c r="G2" s="10" t="s">
        <v>17</v>
      </c>
      <c r="I2" t="s">
        <v>351</v>
      </c>
      <c r="J2" s="2"/>
      <c r="K2" t="s">
        <v>32</v>
      </c>
    </row>
    <row r="3" spans="1:11" x14ac:dyDescent="0.2">
      <c r="A3" s="10" t="s">
        <v>4</v>
      </c>
      <c r="B3" s="2"/>
      <c r="C3" s="10" t="s">
        <v>5</v>
      </c>
      <c r="E3" s="10" t="s">
        <v>369</v>
      </c>
      <c r="G3" s="10" t="s">
        <v>18</v>
      </c>
      <c r="I3" t="s">
        <v>352</v>
      </c>
      <c r="J3" s="2"/>
      <c r="K3" t="s">
        <v>30</v>
      </c>
    </row>
    <row r="4" spans="1:11" x14ac:dyDescent="0.2">
      <c r="A4" s="10" t="s">
        <v>7</v>
      </c>
      <c r="B4" s="2"/>
      <c r="C4" s="10" t="s">
        <v>8</v>
      </c>
      <c r="E4" s="11" t="s">
        <v>9</v>
      </c>
      <c r="G4" s="10" t="s">
        <v>19</v>
      </c>
      <c r="J4" s="2"/>
    </row>
    <row r="5" spans="1:11" x14ac:dyDescent="0.2">
      <c r="A5" s="10" t="s">
        <v>10</v>
      </c>
      <c r="B5" s="2"/>
      <c r="C5" s="10" t="s">
        <v>11</v>
      </c>
      <c r="E5" s="10" t="s">
        <v>473</v>
      </c>
      <c r="G5" s="11" t="s">
        <v>20</v>
      </c>
      <c r="J5" s="2"/>
    </row>
    <row r="6" spans="1:11" x14ac:dyDescent="0.2">
      <c r="A6" s="10" t="s">
        <v>12</v>
      </c>
      <c r="B6" s="2"/>
      <c r="C6" s="10" t="s">
        <v>13</v>
      </c>
      <c r="G6" s="10" t="s">
        <v>347</v>
      </c>
      <c r="J6" s="2"/>
    </row>
    <row r="7" spans="1:11" x14ac:dyDescent="0.2">
      <c r="A7" s="11" t="s">
        <v>14</v>
      </c>
      <c r="B7" s="2"/>
      <c r="C7" s="12" t="s">
        <v>15</v>
      </c>
      <c r="G7" s="10" t="s">
        <v>433</v>
      </c>
      <c r="J7" s="2"/>
    </row>
    <row r="8" spans="1:11" x14ac:dyDescent="0.2">
      <c r="A8" s="10" t="s">
        <v>478</v>
      </c>
    </row>
  </sheetData>
  <pageMargins left="0.7" right="0.7" top="0.75" bottom="0.75" header="0.3" footer="0.3"/>
  <drawing r:id="rId1"/>
  <legacyDrawing r:id="rId2"/>
  <controls>
    <mc:AlternateContent xmlns:mc="http://schemas.openxmlformats.org/markup-compatibility/2006">
      <mc:Choice Requires="x14">
        <control shapeId="1033" r:id="rId3" name="removeBetOutcome">
          <controlPr defaultSize="0" autoLine="0" r:id="rId4">
            <anchor moveWithCells="1">
              <from>
                <xdr:col>7</xdr:col>
                <xdr:colOff>38100</xdr:colOff>
                <xdr:row>2</xdr:row>
                <xdr:rowOff>0</xdr:rowOff>
              </from>
              <to>
                <xdr:col>7</xdr:col>
                <xdr:colOff>1304925</xdr:colOff>
                <xdr:row>3</xdr:row>
                <xdr:rowOff>123825</xdr:rowOff>
              </to>
            </anchor>
          </controlPr>
        </control>
      </mc:Choice>
      <mc:Fallback>
        <control shapeId="1033" r:id="rId3" name="removeBetOutcome"/>
      </mc:Fallback>
    </mc:AlternateContent>
    <mc:AlternateContent xmlns:mc="http://schemas.openxmlformats.org/markup-compatibility/2006">
      <mc:Choice Requires="x14">
        <control shapeId="1032" r:id="rId5" name="addBetOutcome">
          <controlPr defaultSize="0" autoLine="0" r:id="rId6">
            <anchor moveWithCells="1">
              <from>
                <xdr:col>7</xdr:col>
                <xdr:colOff>38100</xdr:colOff>
                <xdr:row>0</xdr:row>
                <xdr:rowOff>38100</xdr:rowOff>
              </from>
              <to>
                <xdr:col>7</xdr:col>
                <xdr:colOff>1304925</xdr:colOff>
                <xdr:row>1</xdr:row>
                <xdr:rowOff>133350</xdr:rowOff>
              </to>
            </anchor>
          </controlPr>
        </control>
      </mc:Choice>
      <mc:Fallback>
        <control shapeId="1032" r:id="rId5" name="addBetOutcome"/>
      </mc:Fallback>
    </mc:AlternateContent>
    <mc:AlternateContent xmlns:mc="http://schemas.openxmlformats.org/markup-compatibility/2006">
      <mc:Choice Requires="x14">
        <control shapeId="1031" r:id="rId7" name="removeTipster">
          <controlPr defaultSize="0" autoLine="0" r:id="rId8">
            <anchor moveWithCells="1">
              <from>
                <xdr:col>5</xdr:col>
                <xdr:colOff>38100</xdr:colOff>
                <xdr:row>2</xdr:row>
                <xdr:rowOff>0</xdr:rowOff>
              </from>
              <to>
                <xdr:col>5</xdr:col>
                <xdr:colOff>1304925</xdr:colOff>
                <xdr:row>3</xdr:row>
                <xdr:rowOff>123825</xdr:rowOff>
              </to>
            </anchor>
          </controlPr>
        </control>
      </mc:Choice>
      <mc:Fallback>
        <control shapeId="1031" r:id="rId7" name="removeTipster"/>
      </mc:Fallback>
    </mc:AlternateContent>
    <mc:AlternateContent xmlns:mc="http://schemas.openxmlformats.org/markup-compatibility/2006">
      <mc:Choice Requires="x14">
        <control shapeId="1030" r:id="rId9" name="addTipster">
          <controlPr defaultSize="0" autoLine="0" r:id="rId10">
            <anchor moveWithCells="1">
              <from>
                <xdr:col>5</xdr:col>
                <xdr:colOff>38100</xdr:colOff>
                <xdr:row>0</xdr:row>
                <xdr:rowOff>38100</xdr:rowOff>
              </from>
              <to>
                <xdr:col>5</xdr:col>
                <xdr:colOff>1304925</xdr:colOff>
                <xdr:row>1</xdr:row>
                <xdr:rowOff>133350</xdr:rowOff>
              </to>
            </anchor>
          </controlPr>
        </control>
      </mc:Choice>
      <mc:Fallback>
        <control shapeId="1030" r:id="rId9" name="addTipster"/>
      </mc:Fallback>
    </mc:AlternateContent>
    <mc:AlternateContent xmlns:mc="http://schemas.openxmlformats.org/markup-compatibility/2006">
      <mc:Choice Requires="x14">
        <control shapeId="1029" r:id="rId11" name="removeBetType">
          <controlPr defaultSize="0" autoLine="0" r:id="rId12">
            <anchor moveWithCells="1">
              <from>
                <xdr:col>3</xdr:col>
                <xdr:colOff>28575</xdr:colOff>
                <xdr:row>2</xdr:row>
                <xdr:rowOff>0</xdr:rowOff>
              </from>
              <to>
                <xdr:col>3</xdr:col>
                <xdr:colOff>1295400</xdr:colOff>
                <xdr:row>3</xdr:row>
                <xdr:rowOff>123825</xdr:rowOff>
              </to>
            </anchor>
          </controlPr>
        </control>
      </mc:Choice>
      <mc:Fallback>
        <control shapeId="1029" r:id="rId11" name="removeBetType"/>
      </mc:Fallback>
    </mc:AlternateContent>
    <mc:AlternateContent xmlns:mc="http://schemas.openxmlformats.org/markup-compatibility/2006">
      <mc:Choice Requires="x14">
        <control shapeId="1028" r:id="rId13" name="addBetType">
          <controlPr defaultSize="0" autoLine="0" r:id="rId14">
            <anchor moveWithCells="1">
              <from>
                <xdr:col>3</xdr:col>
                <xdr:colOff>28575</xdr:colOff>
                <xdr:row>0</xdr:row>
                <xdr:rowOff>38100</xdr:rowOff>
              </from>
              <to>
                <xdr:col>3</xdr:col>
                <xdr:colOff>1295400</xdr:colOff>
                <xdr:row>1</xdr:row>
                <xdr:rowOff>133350</xdr:rowOff>
              </to>
            </anchor>
          </controlPr>
        </control>
      </mc:Choice>
      <mc:Fallback>
        <control shapeId="1028" r:id="rId13" name="addBetType"/>
      </mc:Fallback>
    </mc:AlternateContent>
    <mc:AlternateContent xmlns:mc="http://schemas.openxmlformats.org/markup-compatibility/2006">
      <mc:Choice Requires="x14">
        <control shapeId="1027" r:id="rId15" name="removeSport">
          <controlPr defaultSize="0" autoLine="0" r:id="rId16">
            <anchor moveWithCells="1">
              <from>
                <xdr:col>1</xdr:col>
                <xdr:colOff>28575</xdr:colOff>
                <xdr:row>2</xdr:row>
                <xdr:rowOff>0</xdr:rowOff>
              </from>
              <to>
                <xdr:col>1</xdr:col>
                <xdr:colOff>1295400</xdr:colOff>
                <xdr:row>3</xdr:row>
                <xdr:rowOff>123825</xdr:rowOff>
              </to>
            </anchor>
          </controlPr>
        </control>
      </mc:Choice>
      <mc:Fallback>
        <control shapeId="1027" r:id="rId15" name="removeSport"/>
      </mc:Fallback>
    </mc:AlternateContent>
    <mc:AlternateContent xmlns:mc="http://schemas.openxmlformats.org/markup-compatibility/2006">
      <mc:Choice Requires="x14">
        <control shapeId="1025" r:id="rId17" name="addSport">
          <controlPr defaultSize="0" autoLine="0" r:id="rId18">
            <anchor moveWithCells="1">
              <from>
                <xdr:col>1</xdr:col>
                <xdr:colOff>28575</xdr:colOff>
                <xdr:row>0</xdr:row>
                <xdr:rowOff>38100</xdr:rowOff>
              </from>
              <to>
                <xdr:col>1</xdr:col>
                <xdr:colOff>1295400</xdr:colOff>
                <xdr:row>1</xdr:row>
                <xdr:rowOff>133350</xdr:rowOff>
              </to>
            </anchor>
          </controlPr>
        </control>
      </mc:Choice>
      <mc:Fallback>
        <control shapeId="1025" r:id="rId17" name="addSport"/>
      </mc:Fallback>
    </mc:AlternateContent>
  </controls>
  <tableParts count="6">
    <tablePart r:id="rId19"/>
    <tablePart r:id="rId20"/>
    <tablePart r:id="rId21"/>
    <tablePart r:id="rId22"/>
    <tablePart r:id="rId23"/>
    <tablePart r:id="rId2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410FA68E-17C3-41F8-8D20-282FCC5FF376}">
  <ds:schemaRefs/>
</ds:datastoreItem>
</file>

<file path=customXml/itemProps2.xml><?xml version="1.0" encoding="utf-8"?>
<ds:datastoreItem xmlns:ds="http://schemas.openxmlformats.org/officeDocument/2006/customXml" ds:itemID="{5CE856D1-5F94-41EB-A16F-8A32BA18F409}">
  <ds:schemaRefs/>
</ds:datastoreItem>
</file>

<file path=customXml/itemProps3.xml><?xml version="1.0" encoding="utf-8"?>
<ds:datastoreItem xmlns:ds="http://schemas.openxmlformats.org/officeDocument/2006/customXml" ds:itemID="{DB36CFA2-3D75-4A08-9C18-D8BE2D29B8AA}">
  <ds:schemaRefs/>
</ds:datastoreItem>
</file>

<file path=customXml/itemProps4.xml><?xml version="1.0" encoding="utf-8"?>
<ds:datastoreItem xmlns:ds="http://schemas.openxmlformats.org/officeDocument/2006/customXml" ds:itemID="{C9154522-6AEF-4142-A3E1-30A3A57561CE}">
  <ds:schemaRefs/>
</ds:datastoreItem>
</file>

<file path=customXml/itemProps5.xml><?xml version="1.0" encoding="utf-8"?>
<ds:datastoreItem xmlns:ds="http://schemas.openxmlformats.org/officeDocument/2006/customXml" ds:itemID="{90FD214D-4A5E-48F1-83E8-84DC0D55AC4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Dashboard</vt:lpstr>
      <vt:lpstr>Bets</vt:lpstr>
      <vt:lpstr>Deposits</vt:lpstr>
      <vt:lpstr>Analysis</vt:lpstr>
      <vt:lpstr>Validations</vt:lpstr>
      <vt:lpstr>dateRange</vt:lpstr>
      <vt:lpstr>listBetOutcome</vt:lpstr>
      <vt:lpstr>listBetType</vt:lpstr>
      <vt:lpstr>listMovement</vt:lpstr>
      <vt:lpstr>listSport</vt:lpstr>
      <vt:lpstr>listTipster</vt:lpstr>
      <vt:lpstr>listYesNo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2022-10-13T21:58:08Z</dcterms:created>
  <dcterms:modified xsi:type="dcterms:W3CDTF">2022-10-17T23:02:44Z</dcterms:modified>
</cp:coreProperties>
</file>