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ocuments\Projects\Dashboards\"/>
    </mc:Choice>
  </mc:AlternateContent>
  <xr:revisionPtr revIDLastSave="0" documentId="13_ncr:1_{67651B0B-9ED3-4F05-8575-42A2279BA091}" xr6:coauthVersionLast="47" xr6:coauthVersionMax="47" xr10:uidLastSave="{00000000-0000-0000-0000-000000000000}"/>
  <bookViews>
    <workbookView xWindow="-120" yWindow="-120" windowWidth="29040" windowHeight="15840"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4" r:id="rId7"/>
    <pivotCache cacheId="13"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2" i="3" l="1"/>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R238" i="3"/>
  <c r="R237" i="3"/>
  <c r="R236" i="3"/>
  <c r="R235" i="3"/>
  <c r="R234" i="3"/>
  <c r="R233" i="3"/>
  <c r="R232" i="3"/>
  <c r="R231" i="3"/>
  <c r="R230" i="3"/>
  <c r="R229" i="3"/>
  <c r="R228" i="3"/>
  <c r="R227" i="3"/>
  <c r="R226" i="3"/>
  <c r="R225" i="3"/>
  <c r="R224" i="3"/>
  <c r="R223" i="3"/>
  <c r="R222" i="3"/>
  <c r="R221" i="3"/>
  <c r="R220" i="3"/>
  <c r="J21" i="8"/>
  <c r="Q10" i="8"/>
  <c r="R10" i="8" s="1"/>
  <c r="Q4" i="8"/>
  <c r="S4" i="8" s="1"/>
  <c r="Q9" i="8"/>
  <c r="S9" i="8" s="1"/>
  <c r="Q8" i="8"/>
  <c r="S8" i="8" s="1"/>
  <c r="Q7" i="8"/>
  <c r="S7" i="8" s="1"/>
  <c r="Q6" i="8"/>
  <c r="S6" i="8" s="1"/>
  <c r="Q5" i="8"/>
  <c r="S5" i="8" s="1"/>
  <c r="R219" i="3"/>
  <c r="R218" i="3"/>
  <c r="R217" i="3"/>
  <c r="R216" i="3"/>
  <c r="R215" i="3"/>
  <c r="R214" i="3"/>
  <c r="R213" i="3"/>
  <c r="R212" i="3"/>
  <c r="AE3" i="8"/>
  <c r="AB6" i="8"/>
  <c r="B1" i="8"/>
  <c r="E1" i="8"/>
  <c r="AC4" i="8"/>
  <c r="H3" i="8"/>
  <c r="AB4" i="8"/>
  <c r="I13" i="8"/>
  <c r="L15" i="8"/>
  <c r="L17" i="8"/>
  <c r="L16" i="8" l="1"/>
  <c r="H1" i="8"/>
  <c r="R4" i="8"/>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Z10" i="8" l="1"/>
  <c r="AA10" i="8" s="1"/>
  <c r="Z9" i="8"/>
  <c r="AA9" i="8" s="1"/>
  <c r="P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 r="S237" i="3" s="1"/>
  <c r="S238" i="3" s="1"/>
  <c r="G16" i="8" l="1"/>
  <c r="G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<sst xmlns="http://schemas.openxmlformats.org/spreadsheetml/2006/main" count="2285" uniqueCount="472">
  <si>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</si>
  <si>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</si>
  <si>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</si>
  <si>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</si>
  <si>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</si>
  <si>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</si>
  <si>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</si>
  <si>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</si>
  <si>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</si>
  <si>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</si>
  <si>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</si>
  <si>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</si>
  <si>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</si>
  <si>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</si>
  <si>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</si>
  <si>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</si>
  <si>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</si>
  <si>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</si>
  <si>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</si>
  <si>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</si>
  <si>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</si>
  <si>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</si>
  <si>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</si>
  <si>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</si>
  <si>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</si>
  <si>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</si>
  <si>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</si>
  <si>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</si>
  <si>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</si>
  <si>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</si>
  <si>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</si>
  <si>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</si>
  <si>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</si>
  <si>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</si>
  <si>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</si>
  <si>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</si>
  <si>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</si>
  <si>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</si>
  <si>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</si>
  <si>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</si>
  <si>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</si>
  <si>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</si>
  <si>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</si>
  <si>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</si>
  <si>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</si>
  <si>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</si>
  <si>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</si>
  <si>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</si>
  <si>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</si>
  <si>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</si>
  <si>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</si>
  <si>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</si>
  <si>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</si>
  <si>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</si>
  <si>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</si>
  <si>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</si>
  <si>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</si>
  <si>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</si>
  <si>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</si>
  <si>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</si>
  <si>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</si>
  <si>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</si>
  <si>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</si>
  <si>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</si>
  <si>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</si>
  <si>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</si>
  <si>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</si>
  <si>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</si>
  <si>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</si>
  <si>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</si>
  <si>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</si>
  <si>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</si>
  <si>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</si>
  <si>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</si>
  <si>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</si>
  <si>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</si>
  <si>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</si>
  <si>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</si>
  <si>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</si>
  <si>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</si>
  <si>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</si>
  <si>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</si>
  <si>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</si>
  <si>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</si>
  <si>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</si>
  <si>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</si>
  <si>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</si>
  <si>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</si>
  <si>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</si>
  <si>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</si>
  <si>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</si>
  <si>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</si>
  <si>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</si>
  <si>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</si>
  <si>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</si>
  <si>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</si>
  <si>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</si>
  <si>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</si>
  <si>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</si>
  <si>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</si>
  <si>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</si>
  <si>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</si>
  <si>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</si>
  <si>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</si>
  <si>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</si>
  <si>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</si>
  <si>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</si>
  <si>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</si>
  <si>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</si>
  <si>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</si>
  <si>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</si>
  <si>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</si>
  <si>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</si>
  <si>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</si>
  <si>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</si>
  <si>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</si>
  <si>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</si>
  <si>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</si>
  <si>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</si>
  <si>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</si>
  <si>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</si>
  <si>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</si>
  <si>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</si>
  <si>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</si>
  <si>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</si>
  <si>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</si>
  <si>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</si>
  <si>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</si>
  <si>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</si>
  <si>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</si>
  <si>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</si>
  <si>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</si>
  <si>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</si>
  <si>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</si>
  <si>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</si>
  <si>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</si>
  <si>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</si>
  <si>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</si>
  <si>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</si>
  <si>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</si>
  <si>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</si>
  <si>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</si>
  <si>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</si>
  <si>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</si>
  <si>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</si>
  <si>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</si>
  <si>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</si>
  <si>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</si>
  <si>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</si>
  <si>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</si>
  <si>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</si>
  <si>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</si>
  <si>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</si>
  <si>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</si>
  <si>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</si>
  <si>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</si>
  <si>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</si>
  <si>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</si>
  <si>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</si>
  <si>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</si>
  <si>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</si>
  <si>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</si>
  <si>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</si>
  <si>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</si>
  <si>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</si>
  <si>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</si>
  <si>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</si>
  <si>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</si>
  <si>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</si>
  <si>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</si>
  <si>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</si>
  <si>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</si>
  <si>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</si>
  <si>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</si>
  <si>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</si>
  <si>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</si>
  <si>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</si>
  <si>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</si>
  <si>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</si>
  <si>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</si>
  <si>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</si>
  <si>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</si>
  <si>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</si>
  <si>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</si>
  <si>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</si>
  <si>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</si>
  <si>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</si>
  <si>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</si>
  <si>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</si>
  <si>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</si>
  <si>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</si>
  <si>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</si>
  <si>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</si>
  <si>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</si>
  <si>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</si>
  <si>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</si>
  <si>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</si>
  <si>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</si>
  <si>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</si>
  <si>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</si>
  <si>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</si>
  <si>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</si>
  <si>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</si>
  <si>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</si>
  <si>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</si>
  <si>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</si>
  <si>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</si>
  <si>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</si>
  <si>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</si>
  <si>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</si>
  <si>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</si>
  <si>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</si>
  <si>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</si>
  <si>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</si>
  <si>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</si>
  <si>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</si>
  <si>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</si>
  <si>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</si>
  <si>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</si>
  <si>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</si>
  <si>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</si>
  <si>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</si>
  <si>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</si>
  <si>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</si>
  <si>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</si>
  <si>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</si>
  <si>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</si>
  <si>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</si>
  <si>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</si>
  <si>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</si>
  <si>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</si>
  <si>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</si>
  <si>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</si>
  <si>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</si>
  <si>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</si>
  <si>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</si>
  <si>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</si>
  <si>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</si>
  <si>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</si>
  <si>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</si>
  <si>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</si>
  <si>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</si>
  <si>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</si>
  <si>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</si>
  <si>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</si>
  <si>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</si>
  <si>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</si>
  <si>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</si>
  <si>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</si>
  <si>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</si>
  <si>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</si>
  <si>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</si>
  <si>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</si>
  <si>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</si>
  <si>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</si>
  <si>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</si>
  <si>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</si>
  <si>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</si>
  <si>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</si>
  <si>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</si>
  <si>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</si>
  <si>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</si>
  <si>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</si>
  <si>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</si>
  <si>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</si>
  <si>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</si>
  <si>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</si>
  <si>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</si>
  <si>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</si>
  <si>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</si>
  <si>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</si>
  <si>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</si>
  <si>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</si>
  <si>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</si>
  <si>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</si>
  <si>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</si>
  <si>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</si>
  <si>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</si>
  <si>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</si>
  <si>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</si>
  <si>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</si>
  <si>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</si>
  <si>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</si>
  <si>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</si>
  <si>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</si>
  <si>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</si>
  <si>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</si>
  <si>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</si>
  <si>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</si>
  <si>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</si>
  <si>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</si>
  <si>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</si>
  <si>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</si>
  <si>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</si>
  <si>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</si>
  <si>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</si>
  <si>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</si>
  <si>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</si>
  <si>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</si>
  <si>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</si>
  <si>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</si>
  <si>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</si>
  <si>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</si>
  <si>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</si>
  <si>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</si>
  <si>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</si>
  <si>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</si>
  <si>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</si>
  <si>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</si>
  <si>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</si>
  <si>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</si>
  <si>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</si>
  <si>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</si>
  <si>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</si>
  <si>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</si>
  <si>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</si>
  <si>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</si>
  <si>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</si>
  <si>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</si>
  <si>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</si>
  <si>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</si>
  <si>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</si>
  <si>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</si>
  <si>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</si>
  <si>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</si>
  <si>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</si>
  <si>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</si>
  <si>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</si>
  <si>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</si>
  <si>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</si>
  <si>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</si>
  <si>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</si>
  <si>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</si>
  <si>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</si>
  <si>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</si>
  <si>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</si>
  <si>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</si>
  <si>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</si>
  <si>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</si>
  <si>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</si>
  <si>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</si>
  <si>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</si>
  <si>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</si>
  <si>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</si>
  <si>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</si>
  <si>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</si>
  <si>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</si>
  <si>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</si>
  <si>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</si>
  <si>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</si>
  <si>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</si>
  <si>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</si>
  <si>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</si>
  <si>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</si>
  <si>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</si>
  <si>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</si>
  <si>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</si>
  <si>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</si>
  <si>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</si>
  <si>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</si>
  <si>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</si>
  <si>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</si>
  <si>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</si>
  <si>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</si>
  <si>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</si>
  <si>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</si>
  <si>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</si>
  <si>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</si>
  <si>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</si>
  <si>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</si>
  <si>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</si>
  <si>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</si>
  <si>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</si>
  <si>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</si>
  <si>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</si>
  <si>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</si>
  <si>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</si>
  <si>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</si>
  <si>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</si>
  <si>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</si>
  <si>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</si>
  <si>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</si>
  <si>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</si>
  <si>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</si>
  <si>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</si>
  <si>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</si>
  <si>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</si>
  <si>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</si>
  <si>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</si>
  <si>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</si>
  <si>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</si>
  <si>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</si>
  <si>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</si>
  <si>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</si>
  <si>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</si>
  <si>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</si>
  <si>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</si>
  <si>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</si>
  <si>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</si>
  <si>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</si>
  <si>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</si>
  <si>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</si>
  <si>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</si>
  <si>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</si>
  <si>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</si>
  <si>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</si>
  <si>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</si>
  <si>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</si>
  <si>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</si>
  <si>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</si>
  <si>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</si>
  <si>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</si>
  <si>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</si>
  <si>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</si>
  <si>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</si>
  <si>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</si>
  <si>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</si>
  <si>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</si>
  <si>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</si>
  <si>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</si>
  <si>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</si>
  <si>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</si>
  <si>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</si>
  <si>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</si>
  <si>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</si>
  <si>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</si>
  <si>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</si>
  <si>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</si>
  <si>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</si>
  <si>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</si>
  <si>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</si>
  <si>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</si>
  <si>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</si>
  <si>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</si>
  <si>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</si>
  <si>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</si>
  <si>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</si>
  <si>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</si>
  <si>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</si>
  <si>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</si>
  <si>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</si>
  <si>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</si>
  <si>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</si>
  <si>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</si>
  <si>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</si>
  <si>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</si>
  <si>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</si>
  <si>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</si>
  <si>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</si>
  <si>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</si>
  <si>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</si>
  <si>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</si>
  <si>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</si>
  <si>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</si>
  <si>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Premier League</t>
  </si>
  <si>
    <t>Manchester City</t>
  </si>
  <si>
    <t>Liverpool v Manchester City</t>
  </si>
  <si>
    <t>1-0</t>
  </si>
  <si>
    <t>Mouz Nxt</t>
  </si>
  <si>
    <t>00Prospects</t>
  </si>
  <si>
    <t>Astralis Talent v 00Prospects</t>
  </si>
  <si>
    <t>Pain v Spirit</t>
  </si>
  <si>
    <t>Pain +5,5</t>
  </si>
  <si>
    <t>Pain v Spirit map 2</t>
  </si>
  <si>
    <t>Needdoctor v OneTap</t>
  </si>
  <si>
    <t>Vendetta +1,5</t>
  </si>
  <si>
    <t>Billionaires v Vendetta</t>
  </si>
  <si>
    <t>Ex-Skade +1,5</t>
  </si>
  <si>
    <t>Sangal v Ex-Skade</t>
  </si>
  <si>
    <t>Bluejays +1,5</t>
  </si>
  <si>
    <t>Bluejays v Into the Breach</t>
  </si>
  <si>
    <t>Sold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</si>
</sst>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5">
    <fill>
      <patternFill patternType="none"/>
    </fill>
    <fill>
      <patternFill patternType="gray125"/>
    </fill>
    <fill>
      <patternFill patternType="solid">
        <fgColor indexed="63"/>
        <bgColor indexed="64"/>
      </patternFill>
    </fill>
    <fill>
      <patternFill patternType="solid">
        <fgColor theme="1"/>
        <bgColor indexed="64"/>
      </patternFill>
    </fill>
    <fill>
      <patternFill patternType="solid">
        <fgColor theme="8"/>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62">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xf numFmtId="0" fontId="0" fillId="4" borderId="0" xfId="0" applyFill="1" applyAlignment="1">
      <alignment horizontal="center"/>
    </xf>
    <xf numFmtId="49" fontId="0" fillId="4" borderId="0" xfId="0" applyNumberFormat="1" applyFill="1" applyAlignment="1">
      <alignment horizontal="center"/>
    </xf>
    <xf numFmtId="164" fontId="0" fillId="4" borderId="0" xfId="0" applyNumberFormat="1" applyFill="1" applyAlignment="1">
      <alignment horizontal="center"/>
    </xf>
    <xf numFmtId="2" fontId="0" fillId="4" borderId="0" xfId="0" applyNumberFormat="1" applyFill="1" applyAlignment="1">
      <alignment horizontal="center"/>
    </xf>
    <xf numFmtId="0" fontId="0" fillId="4" borderId="0" xfId="0" applyFill="1"/>
    <xf numFmtId="49" fontId="0" fillId="4" borderId="0" xfId="0" applyNumberFormat="1" applyFont="1" applyFill="1" applyAlignment="1">
      <alignment horizontal="center"/>
    </xf>
    <xf numFmtId="164" fontId="0" fillId="0" borderId="0" xfId="0" applyNumberFormat="1" applyFont="1" applyBorder="1" applyAlignment="1">
      <alignment horizontal="center"/>
    </xf>
  </cellXfs>
  <cellStyles count="3">
    <cellStyle name="Currency" xfId="1" builtinId="4"/>
    <cellStyle name="Normal" xfId="0" builtinId="0"/>
    <cellStyle name="Percent" xfId="2" builtinId="5"/>
  </cellStyles>
  <dxfs count="111">
    <dxf>
      <fill>
        <patternFill patternType="darkTrellis">
          <fgColor theme="1" tint="0.34998626667073579"/>
          <bgColor theme="0"/>
        </patternFill>
      </fill>
    </dxf>
    <dxf>
      <font>
        <color auto="1"/>
      </font>
      <fill>
        <patternFill>
          <bgColor theme="7"/>
        </patternFill>
      </fill>
    </dxf>
    <dxf>
      <fill>
        <patternFill>
          <bgColor theme="4"/>
        </patternFill>
      </fill>
    </dxf>
    <dxf>
      <fill>
        <patternFill>
          <bgColor theme="6"/>
        </patternFill>
      </fill>
    </dxf>
    <dxf>
      <fill>
        <patternFill>
          <bgColor theme="9"/>
        </patternFill>
      </fill>
    </dxf>
    <dxf>
      <font>
        <color theme="0" tint="-0.499984740745262"/>
      </font>
    </dxf>
    <dxf>
      <fill>
        <patternFill>
          <bgColor theme="5"/>
        </patternFill>
      </fill>
    </dxf>
    <dxf>
      <numFmt numFmtId="164" formatCode="#,##0.00\ &quot;€&quot;"/>
      <alignment horizontal="center" vertical="bottom" textRotation="0" wrapText="0" indent="0" justifyLastLine="0" shrinkToFit="0" readingOrder="0"/>
    </dxf>
    <dxf>
      <numFmt numFmtId="164" formatCode="#,##0.00\ &quot;€&quot;"/>
    </dxf>
    <dxf>
      <fill>
        <patternFill patternType="solid">
          <fgColor indexed="64"/>
          <bgColor theme="8"/>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numFmt numFmtId="2" formatCode="0.00"/>
    </dxf>
    <dxf>
      <numFmt numFmtId="0" formatCode="General"/>
    </dxf>
    <dxf>
      <numFmt numFmtId="164" formatCode="#,##0.00\ &quot;€&quot;"/>
    </dxf>
    <dxf>
      <numFmt numFmtId="164" formatCode="#,##0.00\ &quot;€&quot;"/>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alignment horizontal="center"/>
    </dxf>
    <dxf>
      <alignment horizontal="center"/>
    </dxf>
    <dxf>
      <numFmt numFmtId="164" formatCode="#,##0.00\ &quot;€&quot;"/>
    </dxf>
    <dxf>
      <numFmt numFmtId="165" formatCode="#,##0\ &quot;€&quot;"/>
    </dxf>
    <dxf>
      <numFmt numFmtId="164" formatCode="#,##0.00\ &quot;€&quot;"/>
    </dxf>
    <dxf>
      <numFmt numFmtId="164" formatCode="#,##0.00\ &quot;€&quot;"/>
    </dxf>
    <dxf>
      <numFmt numFmtId="164" formatCode="#,##0.00\ &quot;€&quot;"/>
    </dxf>
    <dxf>
      <numFmt numFmtId="164" formatCode="#,##0.00\ &quot;€&quot;"/>
    </dxf>
    <dxf>
      <numFmt numFmtId="164" formatCode="#,##0.00\ &quot;€&quot;"/>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110"/>
    </tableStyle>
    <tableStyle name="Slicer Style 2" pivot="0" table="0" count="1" xr9:uid="{0D556474-20A4-4C5E-9E19-69DA26B5356A}">
      <tableStyleElement type="wholeTable" dxfId="109"/>
    </tableStyle>
    <tableStyle name="Slicer Style 3" pivot="0" table="0" count="1" xr9:uid="{0F573893-9649-4396-A33F-4C696AAEE6B1}"/>
    <tableStyle name="SlicerStyleDark6 2" pivot="0" table="0" count="10" xr9:uid="{5D95627F-33CF-42CC-B39D-44C0955A2514}">
      <tableStyleElement type="wholeTable" dxfId="108"/>
      <tableStyleElement type="headerRow" dxfId="107"/>
    </tableStyle>
    <tableStyle name="SlicerStyleLight1 2" pivot="0" table="0" count="3" xr9:uid="{D8D8D9FA-05D4-4CEA-BB84-B2A72A25E04B}">
      <tableStyleElement type="wholeTable" dxfId="106"/>
    </tableStyle>
    <tableStyle name="Table Style 1" pivot="0" count="0" xr9:uid="{00AA1A79-A582-49B9-B37E-59E12E38702F}"/>
    <tableStyle name="Table Style 2" pivot="0" count="1" xr9:uid="{CE07851A-FC71-493C-AA8F-AD6D8048544F}">
      <tableStyleElement type="firstRowStripe" dxfId="105"/>
    </tableStyle>
    <tableStyle name="Table Style 3" pivot="0" count="1" xr9:uid="{EC57C3A3-7F54-46B2-A9B1-BDE8B8015283}">
      <tableStyleElement type="wholeTable" dxfId="104"/>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Lbls>
            <c:dLbl>
              <c:idx val="0"/>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1-7D17-4134-84F3-4C1011AC815B}"/>
                </c:ext>
              </c:extLst>
            </c:dLbl>
            <c:dLbl>
              <c:idx val="1"/>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 xmlns:c16="http://schemas.microsoft.com/office/drawing/2014/chart" uri="{C3380CC4-5D6E-409C-BE32-E72D297353CC}">
                  <c16:uniqueId val="{00000002-7D17-4134-84F3-4C1011AC815B}"/>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Analysis!$Q$17:$Q$19</c:f>
              <c:strCache>
                <c:ptCount val="2"/>
                <c:pt idx="0">
                  <c:v>Shyux</c:v>
                </c:pt>
                <c:pt idx="1">
                  <c:v>Doodoo</c:v>
                </c:pt>
              </c:strCache>
            </c:strRef>
          </c:cat>
          <c:val>
            <c:numRef>
              <c:f>Analysis!$R$17:$R$19</c:f>
              <c:numCache>
                <c:formatCode>#\ ##0.00\ "€"</c:formatCode>
                <c:ptCount val="2"/>
                <c:pt idx="0">
                  <c:v>5.9464200000000131</c:v>
                </c:pt>
                <c:pt idx="1">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35.126339999999999</c:v>
                </c:pt>
                <c:pt idx="1">
                  <c:v>-8</c:v>
                </c:pt>
                <c:pt idx="2">
                  <c:v>0</c:v>
                </c:pt>
                <c:pt idx="3">
                  <c:v>-24.34</c:v>
                </c:pt>
                <c:pt idx="4">
                  <c:v>-6.8399200000000002</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Premier League</c:v>
                </c:pt>
              </c:strCache>
            </c:strRef>
          </c:cat>
          <c:val>
            <c:numRef>
              <c:f>Analysis!$L$4:$L$11</c:f>
              <c:numCache>
                <c:formatCode>#\ ##0.00\ "€"</c:formatCode>
                <c:ptCount val="7"/>
                <c:pt idx="0">
                  <c:v>10.078420000000005</c:v>
                </c:pt>
                <c:pt idx="1">
                  <c:v>-2.4520000000000017</c:v>
                </c:pt>
                <c:pt idx="2">
                  <c:v>-4</c:v>
                </c:pt>
                <c:pt idx="3">
                  <c:v>-4</c:v>
                </c:pt>
                <c:pt idx="4">
                  <c:v>-8</c:v>
                </c:pt>
                <c:pt idx="5">
                  <c:v>2.3200000000000003</c:v>
                </c:pt>
                <c:pt idx="6">
                  <c:v>-4</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-31.029280000000004</c:v>
                </c:pt>
                <c:pt idx="1">
                  <c:v>20.97570000000001</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138</c:v>
                </c:pt>
                <c:pt idx="1">
                  <c:v>90</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Bets!$R$2:$R$238</c:f>
              <c:numCache>
                <c:formatCode>m/d/yyyy</c:formatCode>
                <c:ptCount val="237"/>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pt idx="235">
                  <c:v>44850</c:v>
                </c:pt>
                <c:pt idx="236">
                  <c:v>44850</c:v>
                </c:pt>
              </c:numCache>
            </c:numRef>
          </c:cat>
          <c:val>
            <c:numRef>
              <c:f>Bets!$S$2:$S$238</c:f>
              <c:numCache>
                <c:formatCode>#\ ##0.00\ "€"</c:formatCode>
                <c:ptCount val="237"/>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-0.17357999999997453</c:v>
                </c:pt>
                <c:pt idx="234">
                  <c:v>-4.1735799999999745</c:v>
                </c:pt>
                <c:pt idx="235">
                  <c:v>-8.1735799999999745</c:v>
                </c:pt>
                <c:pt idx="236">
                  <c:v>-12.173579999999975</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8.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640"/>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641"/>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81,95 € </a:t>
              </a:fld>
              <a:endParaRPr lang="pt-PT" sz="1100" b="1">
                <a:solidFill>
                  <a:schemeClr val="accent6"/>
                </a:solidFill>
              </a:endParaRPr>
            </a:p>
          </xdr:txBody>
        </xdr:sp>
        <xdr:sp macro="" textlink="Bets!O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3,6 €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563100" y="171450"/>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310" y="512989"/>
            <a:ext cx="1390651" cy="309124"/>
            <a:chOff x="13773150" y="1871662"/>
            <a:chExt cx="781379"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071943"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-1,04%</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-10,05 €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2</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114300</xdr:rowOff>
    </xdr:from>
    <xdr:to>
      <xdr:col>18</xdr:col>
      <xdr:colOff>48290</xdr:colOff>
      <xdr:row>39</xdr:row>
      <xdr:rowOff>70777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294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0 Bonus Bets w/ Profit -&gt; 0 €</a:t>
            </a:fld>
            <a:endParaRPr lang="pt-PT" sz="1200" b="1">
              <a:solidFill>
                <a:schemeClr val="accent6">
                  <a:alpha val="85000"/>
                </a:schemeClr>
              </a:solidFill>
            </a:endParaRPr>
          </a:p>
        </xdr:txBody>
      </xdr:sp>
    </xdr:grpSp>
    <xdr:clientData/>
  </xdr:twoCellAnchor>
  <xdr:twoCellAnchor>
    <xdr:from>
      <xdr:col>0</xdr:col>
      <xdr:colOff>121167</xdr:colOff>
      <xdr:row>0</xdr:row>
      <xdr:rowOff>24765</xdr:rowOff>
    </xdr:from>
    <xdr:to>
      <xdr:col>8</xdr:col>
      <xdr:colOff>752475</xdr:colOff>
      <xdr:row>3</xdr:row>
      <xdr:rowOff>171450</xdr:rowOff>
    </xdr:to>
    <xdr:sp macro="[0]!HeaderNewBet_Click" textlink="">
      <xdr:nvSpPr>
        <xdr:cNvPr id="9" name="Title Total Profit">
          <a:extLst>
            <a:ext uri="{FF2B5EF4-FFF2-40B4-BE49-F238E27FC236}">
              <a16:creationId xmlns:a16="http://schemas.microsoft.com/office/drawing/2014/main" id="{00000000-0008-0000-0000-000009000000}"/>
            </a:ext>
          </a:extLst>
        </xdr:cNvPr>
        <xdr:cNvSpPr txBox="1"/>
      </xdr:nvSpPr>
      <xdr:spPr>
        <a:xfrm>
          <a:off x="121167" y="24765"/>
          <a:ext cx="6727308" cy="689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4000" b="0">
              <a:solidFill>
                <a:schemeClr val="accent5"/>
              </a:solidFill>
            </a:rPr>
            <a:t>Online Betting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730250</xdr:colOff>
          <xdr:row>220</xdr:row>
          <xdr:rowOff>12700</xdr:rowOff>
        </xdr:from>
        <xdr:to>
          <xdr:col>15</xdr:col>
          <xdr:colOff>549275</xdr:colOff>
          <xdr:row>222</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730250</xdr:colOff>
          <xdr:row>222</xdr:row>
          <xdr:rowOff>19050</xdr:rowOff>
        </xdr:from>
        <xdr:to>
          <xdr:col>15</xdr:col>
          <xdr:colOff>549275</xdr:colOff>
          <xdr:row>224</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714375</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joze/Desktop/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refreshError="1"/>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refreshError="1"/>
      <sheetData sheetId="3" refreshError="1"/>
      <sheetData sheetId="4" refreshError="1"/>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675735532408"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675735879631" createdVersion="8" refreshedVersion="8" minRefreshableVersion="3" recordCount="240" xr:uid="{61CBFD9F-395B-464B-987D-1FE5EECF9023}">
  <cacheSource type="worksheet">
    <worksheetSource name="TableBets"/>
  </cacheSource>
  <cacheFields count="16">
    <cacheField name="Date" numFmtId="14">
      <sharedItems containsSemiMixedTypes="0" containsNonDate="0" containsDate="1" containsString="0" minDate="2022-09-18T00:00:00" maxDate="2022-10-18T00:00:00" count="29">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sharedItems>
      <fieldGroup par="15"/>
    </cacheField>
    <cacheField name="Sport" numFmtId="49">
      <sharedItems count="7">
        <s v="CS:GO"/>
        <s v="League of Legends"/>
        <s v="NFL"/>
        <s v="Valorant"/>
        <s v="NHL"/>
        <s v="Rainbow Six"/>
        <s v="Premier League"/>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2">
        <s v="Shyux"/>
        <s v="Doodoo"/>
      </sharedItems>
    </cacheField>
    <cacheField name="Fixture / Event" numFmtId="49">
      <sharedItems containsBlank="1"/>
    </cacheField>
    <cacheField name="Live" numFmtId="49">
      <sharedItems count="2">
        <s v="N"/>
        <s v="Y"/>
      </sharedItems>
    </cacheField>
    <cacheField name="BB" numFmtId="49">
      <sharedItems containsBlank="1" count="4">
        <s v="N"/>
        <s v="Y" u="1"/>
        <m u="1"/>
        <s v="sad" u="1"/>
      </sharedItems>
    </cacheField>
    <cacheField name="Score" numFmtId="49">
      <sharedItems containsBlank="1"/>
    </cacheField>
    <cacheField name="Stake" numFmtId="164">
      <sharedItems containsString="0" containsBlank="1" containsNumber="1" minValue="1.1000000000000001" maxValue="9.07"/>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Sold for" numFmtId="164">
      <sharedItems containsNonDate="0" containsString="0" containsBlank="1"/>
    </cacheField>
    <cacheField name="Days (Date)" numFmtId="0" databaseField="0">
      <fieldGroup base="0">
        <rangePr groupBy="days" startDate="2022-09-18T00:00:00" endDate="2022-10-18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8/10/2022"/>
        </groupItems>
      </fieldGroup>
    </cacheField>
    <cacheField name="Months (Date)" numFmtId="0" databaseField="0">
      <fieldGroup base="0">
        <rangePr groupBy="months" startDate="2022-09-18T00:00:00" endDate="2022-10-18T00:00:00"/>
        <groupItems count="14">
          <s v="&lt;18/09/2022"/>
          <s v="jan"/>
          <s v="fev"/>
          <s v="mar"/>
          <s v="abr"/>
          <s v="mai"/>
          <s v="jun"/>
          <s v="jul"/>
          <s v="ago"/>
          <s v="set"/>
          <s v="out"/>
          <s v="nov"/>
          <s v="dez"/>
          <s v="&gt;18/10/2022"/>
        </groupItems>
      </fieldGroup>
    </cacheField>
  </cacheFields>
  <extLst>
    <ext xmlns:x14="http://schemas.microsoft.com/office/spreadsheetml/2009/9/main" uri="{725AE2AE-9491-48be-B2B4-4EB974FC3084}">
      <x14:pivotCacheDefinition pivotCacheId="20954893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x v="0"/>
    <s v="Havu"/>
    <x v="0"/>
    <x v="0"/>
    <s v="Havu v Jano map 2"/>
    <x v="0"/>
    <x v="0"/>
    <s v="16-11"/>
    <n v="4"/>
    <n v="1.85"/>
    <x v="0"/>
    <n v="3.4000000000000004"/>
    <m/>
  </r>
  <r>
    <x v="0"/>
    <x v="0"/>
    <s v="Arvum"/>
    <x v="0"/>
    <x v="0"/>
    <s v="Arvum v Los Grandes Acad"/>
    <x v="0"/>
    <x v="0"/>
    <s v="2-0"/>
    <n v="4"/>
    <n v="1.492"/>
    <x v="0"/>
    <n v="1.968"/>
    <m/>
  </r>
  <r>
    <x v="1"/>
    <x v="0"/>
    <s v="Finest"/>
    <x v="0"/>
    <x v="0"/>
    <s v="Team Finest v Bluejays"/>
    <x v="0"/>
    <x v="0"/>
    <s v="0-2"/>
    <n v="4"/>
    <n v="1.52"/>
    <x v="1"/>
    <n v="-4"/>
    <m/>
  </r>
  <r>
    <x v="1"/>
    <x v="0"/>
    <s v="Los Kogutos"/>
    <x v="0"/>
    <x v="0"/>
    <s v="Sinners v Los Kogutos map 1"/>
    <x v="0"/>
    <x v="0"/>
    <s v="16-12"/>
    <n v="4"/>
    <n v="1.47"/>
    <x v="1"/>
    <n v="-4"/>
    <m/>
  </r>
  <r>
    <x v="1"/>
    <x v="0"/>
    <s v="Falcons"/>
    <x v="0"/>
    <x v="0"/>
    <s v="Falcons v LDLC map 1"/>
    <x v="0"/>
    <x v="0"/>
    <s v="16-12"/>
    <n v="4"/>
    <n v="1.54"/>
    <x v="0"/>
    <n v="2.16"/>
    <m/>
  </r>
  <r>
    <x v="1"/>
    <x v="0"/>
    <s v="Falcons"/>
    <x v="0"/>
    <x v="0"/>
    <s v="Falcons v LDLC map 2"/>
    <x v="1"/>
    <x v="0"/>
    <s v="19-17"/>
    <n v="4"/>
    <n v="1.56"/>
    <x v="0"/>
    <n v="2.2400000000000002"/>
    <m/>
  </r>
  <r>
    <x v="1"/>
    <x v="0"/>
    <s v="Nexus"/>
    <x v="0"/>
    <x v="0"/>
    <s v="Nexus v Take Aim"/>
    <x v="0"/>
    <x v="0"/>
    <s v="1-2"/>
    <n v="4"/>
    <n v="2.024"/>
    <x v="1"/>
    <n v="-4"/>
    <m/>
  </r>
  <r>
    <x v="1"/>
    <x v="0"/>
    <s v="Apeks -1,5"/>
    <x v="1"/>
    <x v="0"/>
    <s v="eSuba v Apeks"/>
    <x v="0"/>
    <x v="0"/>
    <s v="2-0"/>
    <n v="4"/>
    <n v="3.4"/>
    <x v="1"/>
    <n v="-4"/>
    <m/>
  </r>
  <r>
    <x v="1"/>
    <x v="0"/>
    <s v="Windingo"/>
    <x v="0"/>
    <x v="0"/>
    <s v="MOB v Windingo map 2"/>
    <x v="1"/>
    <x v="0"/>
    <s v="11-16"/>
    <n v="4"/>
    <n v="1.52"/>
    <x v="0"/>
    <n v="2.08"/>
    <m/>
  </r>
  <r>
    <x v="1"/>
    <x v="0"/>
    <s v="MOB"/>
    <x v="0"/>
    <x v="0"/>
    <s v="MOB v Windingo map 3"/>
    <x v="1"/>
    <x v="0"/>
    <s v="16-9"/>
    <n v="4"/>
    <n v="1.72"/>
    <x v="0"/>
    <n v="2.88"/>
    <m/>
  </r>
  <r>
    <x v="2"/>
    <x v="0"/>
    <s v="Villainous Union"/>
    <x v="0"/>
    <x v="0"/>
    <s v="DNA v Villainous Union map 2"/>
    <x v="1"/>
    <x v="0"/>
    <s v="15-19"/>
    <n v="4"/>
    <n v="1.67"/>
    <x v="0"/>
    <n v="2.6799999999999997"/>
    <m/>
  </r>
  <r>
    <x v="2"/>
    <x v="0"/>
    <s v="Davenport +8,5"/>
    <x v="2"/>
    <x v="0"/>
    <s v="Davenport Univ v TeamOne"/>
    <x v="0"/>
    <x v="0"/>
    <s v="9-16"/>
    <n v="4"/>
    <n v="1.55"/>
    <x v="0"/>
    <n v="2.2000000000000002"/>
    <m/>
  </r>
  <r>
    <x v="2"/>
    <x v="0"/>
    <s v="Strife +1,5"/>
    <x v="1"/>
    <x v="0"/>
    <s v="Nouns v Strife"/>
    <x v="0"/>
    <x v="0"/>
    <s v="2-1"/>
    <n v="4"/>
    <n v="1.605"/>
    <x v="0"/>
    <n v="2.42"/>
    <m/>
  </r>
  <r>
    <x v="2"/>
    <x v="0"/>
    <s v="Big Omen Acad"/>
    <x v="0"/>
    <x v="0"/>
    <s v="BIG OMEN Acad v mouZ NXT"/>
    <x v="0"/>
    <x v="0"/>
    <s v="2-1"/>
    <n v="4"/>
    <n v="1.42"/>
    <x v="0"/>
    <n v="1.6799999999999997"/>
    <m/>
  </r>
  <r>
    <x v="2"/>
    <x v="0"/>
    <s v="Bad News Eagles"/>
    <x v="0"/>
    <x v="0"/>
    <s v="Bad News Eagles v Endpoint"/>
    <x v="0"/>
    <x v="0"/>
    <s v="2-1"/>
    <n v="4"/>
    <n v="1.3919999999999999"/>
    <x v="0"/>
    <n v="1.5679999999999996"/>
    <m/>
  </r>
  <r>
    <x v="2"/>
    <x v="0"/>
    <s v="Eternal Fire +1,5"/>
    <x v="1"/>
    <x v="0"/>
    <s v="Eternal Fire v Furia"/>
    <x v="0"/>
    <x v="0"/>
    <s v="1-2"/>
    <n v="4"/>
    <n v="1.52"/>
    <x v="0"/>
    <n v="2.08"/>
    <m/>
  </r>
  <r>
    <x v="2"/>
    <x v="0"/>
    <s v="Liquid -1,5"/>
    <x v="1"/>
    <x v="0"/>
    <s v="Team Liquid v Movistar Riders"/>
    <x v="0"/>
    <x v="0"/>
    <s v="2-1"/>
    <n v="4"/>
    <n v="1.81"/>
    <x v="1"/>
    <n v="-4"/>
    <m/>
  </r>
  <r>
    <x v="2"/>
    <x v="0"/>
    <s v="Bad News Eagles"/>
    <x v="0"/>
    <x v="0"/>
    <s v="Bad News Eagles v Endpoint map 2"/>
    <x v="1"/>
    <x v="0"/>
    <s v="16-5"/>
    <n v="4"/>
    <n v="1.42"/>
    <x v="0"/>
    <n v="1.6799999999999997"/>
    <m/>
  </r>
  <r>
    <x v="2"/>
    <x v="0"/>
    <s v="Bad News Eagles"/>
    <x v="0"/>
    <x v="0"/>
    <s v="Bad News Eagles v Endpoint"/>
    <x v="1"/>
    <x v="0"/>
    <s v="2-1"/>
    <n v="4"/>
    <n v="1.45"/>
    <x v="0"/>
    <n v="1.7999999999999998"/>
    <m/>
  </r>
  <r>
    <x v="2"/>
    <x v="0"/>
    <s v="Big Omen Acad"/>
    <x v="0"/>
    <x v="0"/>
    <s v="BIG OMEN Acad v mouZ NXT map 2"/>
    <x v="1"/>
    <x v="0"/>
    <s v="16-19"/>
    <n v="4"/>
    <n v="1.49"/>
    <x v="1"/>
    <n v="-4"/>
    <m/>
  </r>
  <r>
    <x v="2"/>
    <x v="0"/>
    <s v="Sprout"/>
    <x v="0"/>
    <x v="0"/>
    <s v="Sprout v sAw map 2"/>
    <x v="1"/>
    <x v="0"/>
    <s v="16-5"/>
    <n v="4"/>
    <n v="1.57"/>
    <x v="0"/>
    <n v="2.2800000000000002"/>
    <m/>
  </r>
  <r>
    <x v="2"/>
    <x v="0"/>
    <s v="Sprout"/>
    <x v="0"/>
    <x v="0"/>
    <s v="Sprout v sAw"/>
    <x v="0"/>
    <x v="0"/>
    <s v="2-1"/>
    <n v="4"/>
    <n v="1.58"/>
    <x v="0"/>
    <n v="2.3200000000000003"/>
    <m/>
  </r>
  <r>
    <x v="2"/>
    <x v="1"/>
    <s v="Team BDS"/>
    <x v="0"/>
    <x v="0"/>
    <s v="GameWard v Team BDS map 1"/>
    <x v="1"/>
    <x v="0"/>
    <s v="15-24"/>
    <n v="4"/>
    <n v="1.85"/>
    <x v="0"/>
    <n v="3.4000000000000004"/>
    <m/>
  </r>
  <r>
    <x v="2"/>
    <x v="1"/>
    <s v="Team BDS"/>
    <x v="0"/>
    <x v="0"/>
    <s v="GameWard v Team BDS map 2"/>
    <x v="1"/>
    <x v="0"/>
    <s v="6-17"/>
    <n v="4"/>
    <n v="1.47"/>
    <x v="0"/>
    <n v="1.88"/>
    <m/>
  </r>
  <r>
    <x v="2"/>
    <x v="1"/>
    <s v="FunPlus Blaze +1,5"/>
    <x v="1"/>
    <x v="0"/>
    <s v="FunPlus Blaze v EDG Youth"/>
    <x v="0"/>
    <x v="0"/>
    <s v="2-3"/>
    <n v="4"/>
    <n v="1.615"/>
    <x v="0"/>
    <n v="2.46"/>
    <m/>
  </r>
  <r>
    <x v="2"/>
    <x v="0"/>
    <s v="Movistar Riders +3,5"/>
    <x v="2"/>
    <x v="0"/>
    <s v="Team Liquid v Movistar Riders map 3"/>
    <x v="1"/>
    <x v="0"/>
    <s v="16-13"/>
    <n v="2"/>
    <n v="1.53"/>
    <x v="0"/>
    <n v="1.06"/>
    <m/>
  </r>
  <r>
    <x v="3"/>
    <x v="1"/>
    <s v="Heretics +2,5"/>
    <x v="1"/>
    <x v="0"/>
    <s v="Team Heretics v LDLC"/>
    <x v="0"/>
    <x v="0"/>
    <s v="3-1"/>
    <n v="4"/>
    <n v="1.4450000000000001"/>
    <x v="0"/>
    <n v="1.7800000000000002"/>
    <m/>
  </r>
  <r>
    <x v="3"/>
    <x v="0"/>
    <s v="Bluejays"/>
    <x v="0"/>
    <x v="0"/>
    <s v="Bluejays v Into the Breach map 2"/>
    <x v="1"/>
    <x v="0"/>
    <s v="16-14"/>
    <n v="4"/>
    <n v="1.94"/>
    <x v="0"/>
    <n v="3.76"/>
    <m/>
  </r>
  <r>
    <x v="3"/>
    <x v="0"/>
    <s v="Eternal Fire +6,5"/>
    <x v="2"/>
    <x v="0"/>
    <s v="Cloud9 v Eternal Fire map 1"/>
    <x v="0"/>
    <x v="0"/>
    <s v="16-12"/>
    <n v="4"/>
    <n v="1.52"/>
    <x v="0"/>
    <n v="2.08"/>
    <m/>
  </r>
  <r>
    <x v="3"/>
    <x v="0"/>
    <s v="Vertex"/>
    <x v="0"/>
    <x v="0"/>
    <s v="Antic v  Vertex"/>
    <x v="0"/>
    <x v="0"/>
    <s v="1-2"/>
    <n v="4"/>
    <n v="1.38"/>
    <x v="0"/>
    <n v="1.5199999999999996"/>
    <m/>
  </r>
  <r>
    <x v="3"/>
    <x v="0"/>
    <s v="Finest"/>
    <x v="0"/>
    <x v="0"/>
    <s v="Team Finest v Masonic"/>
    <x v="0"/>
    <x v="0"/>
    <s v="1-2"/>
    <n v="4"/>
    <n v="1.41"/>
    <x v="1"/>
    <n v="-4"/>
    <m/>
  </r>
  <r>
    <x v="3"/>
    <x v="0"/>
    <s v="Eternal Fire"/>
    <x v="0"/>
    <x v="0"/>
    <s v="Cloud9 v Eternal Fire map 2"/>
    <x v="1"/>
    <x v="0"/>
    <s v="16-11"/>
    <n v="4"/>
    <n v="2.11"/>
    <x v="1"/>
    <n v="-4"/>
    <m/>
  </r>
  <r>
    <x v="3"/>
    <x v="0"/>
    <s v="Finest"/>
    <x v="0"/>
    <x v="0"/>
    <s v="Team Finest v Masonic map 2"/>
    <x v="1"/>
    <x v="0"/>
    <s v="17-19"/>
    <n v="4"/>
    <n v="1.82"/>
    <x v="1"/>
    <n v="-4"/>
    <m/>
  </r>
  <r>
    <x v="3"/>
    <x v="0"/>
    <s v="Movistar Riders +10,5"/>
    <x v="2"/>
    <x v="0"/>
    <s v="Movistar Riders v Furia map 1"/>
    <x v="0"/>
    <x v="0"/>
    <s v="3-16"/>
    <n v="4"/>
    <n v="1.55"/>
    <x v="1"/>
    <n v="-4"/>
    <m/>
  </r>
  <r>
    <x v="3"/>
    <x v="0"/>
    <s v="Jano"/>
    <x v="0"/>
    <x v="0"/>
    <s v="Pact v Jano map 2"/>
    <x v="0"/>
    <x v="0"/>
    <s v="10-16"/>
    <n v="4"/>
    <n v="1.44"/>
    <x v="0"/>
    <n v="1.7599999999999998"/>
    <m/>
  </r>
  <r>
    <x v="3"/>
    <x v="0"/>
    <s v="Finest"/>
    <x v="0"/>
    <x v="0"/>
    <s v="Team Finest v Masonic"/>
    <x v="0"/>
    <x v="0"/>
    <s v="1-2"/>
    <n v="4"/>
    <n v="1.67"/>
    <x v="1"/>
    <n v="-4"/>
    <m/>
  </r>
  <r>
    <x v="3"/>
    <x v="0"/>
    <s v="Furia"/>
    <x v="0"/>
    <x v="0"/>
    <s v="Movistar Riders v Furia map 2"/>
    <x v="1"/>
    <x v="0"/>
    <s v="13-16"/>
    <n v="6"/>
    <n v="1.61"/>
    <x v="0"/>
    <n v="3.6600000000000006"/>
    <m/>
  </r>
  <r>
    <x v="3"/>
    <x v="1"/>
    <s v="LDLC"/>
    <x v="0"/>
    <x v="0"/>
    <s v="Team Heretics v LDLC map 2"/>
    <x v="1"/>
    <x v="0"/>
    <s v="5-17"/>
    <n v="6"/>
    <n v="1.65"/>
    <x v="0"/>
    <n v="3.8999999999999995"/>
    <m/>
  </r>
  <r>
    <x v="3"/>
    <x v="1"/>
    <s v="LDLC"/>
    <x v="0"/>
    <x v="0"/>
    <s v="Team Heretics v LDLC map 3"/>
    <x v="1"/>
    <x v="0"/>
    <s v="19-9"/>
    <n v="6"/>
    <n v="1.67"/>
    <x v="1"/>
    <n v="-6"/>
    <m/>
  </r>
  <r>
    <x v="3"/>
    <x v="0"/>
    <s v="Into the Breach"/>
    <x v="0"/>
    <x v="0"/>
    <s v="Into the Breach v Sinners"/>
    <x v="0"/>
    <x v="0"/>
    <s v="0-2"/>
    <n v="4"/>
    <n v="1.9"/>
    <x v="1"/>
    <n v="-4"/>
    <m/>
  </r>
  <r>
    <x v="3"/>
    <x v="0"/>
    <s v="Union"/>
    <x v="0"/>
    <x v="0"/>
    <s v="9z Acad v Union map 2"/>
    <x v="1"/>
    <x v="0"/>
    <s v="10-16"/>
    <n v="4"/>
    <n v="1.85"/>
    <x v="0"/>
    <n v="3.4000000000000004"/>
    <m/>
  </r>
  <r>
    <x v="3"/>
    <x v="0"/>
    <s v="Team One"/>
    <x v="0"/>
    <x v="0"/>
    <s v="EG Black v TeamOne map 1"/>
    <x v="0"/>
    <x v="0"/>
    <s v="11-16"/>
    <n v="4"/>
    <n v="1.48"/>
    <x v="0"/>
    <n v="1.92"/>
    <m/>
  </r>
  <r>
    <x v="3"/>
    <x v="0"/>
    <s v="Daotsu"/>
    <x v="0"/>
    <x v="0"/>
    <s v="Fusion v Daotsu"/>
    <x v="0"/>
    <x v="0"/>
    <s v="1-2"/>
    <n v="4"/>
    <n v="1.35"/>
    <x v="0"/>
    <n v="1.4000000000000004"/>
    <m/>
  </r>
  <r>
    <x v="3"/>
    <x v="0"/>
    <s v="EG Black"/>
    <x v="0"/>
    <x v="0"/>
    <s v="EG Black v TeamOne map 2"/>
    <x v="1"/>
    <x v="0"/>
    <s v="14-16"/>
    <n v="4"/>
    <n v="1.52"/>
    <x v="1"/>
    <n v="-4"/>
    <m/>
  </r>
  <r>
    <x v="4"/>
    <x v="0"/>
    <s v="Eternal Fire"/>
    <x v="0"/>
    <x v="0"/>
    <s v="Eternal Fire v Evil Geniuses map 1"/>
    <x v="0"/>
    <x v="0"/>
    <s v="9-16"/>
    <n v="4"/>
    <n v="1.51"/>
    <x v="1"/>
    <n v="-4"/>
    <m/>
  </r>
  <r>
    <x v="4"/>
    <x v="0"/>
    <s v="Liquid"/>
    <x v="0"/>
    <x v="0"/>
    <s v="Team Liquid v Furia"/>
    <x v="0"/>
    <x v="0"/>
    <s v="1-2"/>
    <n v="4"/>
    <n v="1.6040000000000001"/>
    <x v="1"/>
    <n v="-4"/>
    <m/>
  </r>
  <r>
    <x v="4"/>
    <x v="0"/>
    <s v="Paqueta"/>
    <x v="0"/>
    <x v="0"/>
    <s v="Paqueta v Furia Acad"/>
    <x v="0"/>
    <x v="0"/>
    <s v="2-0"/>
    <n v="4"/>
    <n v="1.4119999999999999"/>
    <x v="0"/>
    <n v="1.6479999999999997"/>
    <m/>
  </r>
  <r>
    <x v="4"/>
    <x v="1"/>
    <s v="MAX +1,5"/>
    <x v="1"/>
    <x v="0"/>
    <s v="T1 Challengers v MAX E-Sports"/>
    <x v="0"/>
    <x v="0"/>
    <s v="2-3"/>
    <n v="4"/>
    <n v="1.532"/>
    <x v="0"/>
    <n v="2.1280000000000001"/>
    <m/>
  </r>
  <r>
    <x v="4"/>
    <x v="0"/>
    <s v="Isurus"/>
    <x v="0"/>
    <x v="0"/>
    <s v="MIBR Acad v Isurus map 2"/>
    <x v="1"/>
    <x v="0"/>
    <s v="13-16"/>
    <n v="4"/>
    <n v="1.55"/>
    <x v="0"/>
    <n v="2.2000000000000002"/>
    <m/>
  </r>
  <r>
    <x v="4"/>
    <x v="0"/>
    <s v="Movistar Riders +7,5"/>
    <x v="2"/>
    <x v="0"/>
    <s v="Cloud9 v Movistar Riders map 1"/>
    <x v="0"/>
    <x v="0"/>
    <s v="16-7"/>
    <n v="4"/>
    <n v="2.02"/>
    <x v="1"/>
    <n v="-4"/>
    <m/>
  </r>
  <r>
    <x v="4"/>
    <x v="0"/>
    <m/>
    <x v="3"/>
    <x v="0"/>
    <m/>
    <x v="0"/>
    <x v="0"/>
    <m/>
    <n v="4"/>
    <n v="12.365843999999999"/>
    <x v="1"/>
    <n v="-4"/>
    <m/>
  </r>
  <r>
    <x v="4"/>
    <x v="0"/>
    <s v="Cloud9 -4,5"/>
    <x v="2"/>
    <x v="0"/>
    <s v="Cloud9 v Movistar Riders map 2"/>
    <x v="0"/>
    <x v="0"/>
    <s v="16-4"/>
    <m/>
    <m/>
    <x v="2"/>
    <n v="0"/>
    <m/>
  </r>
  <r>
    <x v="4"/>
    <x v="0"/>
    <s v="Liquid"/>
    <x v="0"/>
    <x v="0"/>
    <s v="Team Liquid v Furia"/>
    <x v="0"/>
    <x v="0"/>
    <s v="1-2"/>
    <m/>
    <m/>
    <x v="2"/>
    <n v="0"/>
    <m/>
  </r>
  <r>
    <x v="4"/>
    <x v="0"/>
    <s v="Over 2,5"/>
    <x v="4"/>
    <x v="0"/>
    <s v="Eternal Fire v Evil Geniuses"/>
    <x v="0"/>
    <x v="0"/>
    <s v="0-2"/>
    <m/>
    <m/>
    <x v="2"/>
    <n v="0"/>
    <m/>
  </r>
  <r>
    <x v="4"/>
    <x v="0"/>
    <s v="Big Omen Acad"/>
    <x v="0"/>
    <x v="0"/>
    <s v="For The Win v Big Omen Acad"/>
    <x v="0"/>
    <x v="0"/>
    <s v="1-2"/>
    <m/>
    <m/>
    <x v="2"/>
    <n v="0"/>
    <m/>
  </r>
  <r>
    <x v="4"/>
    <x v="0"/>
    <s v="Masonic"/>
    <x v="0"/>
    <x v="0"/>
    <s v="Ecstatic v Masonic"/>
    <x v="0"/>
    <x v="0"/>
    <s v="19-16"/>
    <n v="4"/>
    <n v="1.8"/>
    <x v="1"/>
    <n v="-4"/>
    <m/>
  </r>
  <r>
    <x v="4"/>
    <x v="0"/>
    <s v="Windingo +1,5"/>
    <x v="1"/>
    <x v="0"/>
    <s v="Windingo v Sharks"/>
    <x v="0"/>
    <x v="0"/>
    <s v="0-2"/>
    <n v="4"/>
    <n v="1.4"/>
    <x v="1"/>
    <n v="-4"/>
    <m/>
  </r>
  <r>
    <x v="4"/>
    <x v="0"/>
    <s v="Eternal Fire -3,5"/>
    <x v="2"/>
    <x v="0"/>
    <s v="Eternal Fire v Evil Geniuses map 2"/>
    <x v="0"/>
    <x v="0"/>
    <s v="4-16"/>
    <n v="4"/>
    <n v="1.96"/>
    <x v="1"/>
    <n v="-4"/>
    <m/>
  </r>
  <r>
    <x v="4"/>
    <x v="0"/>
    <s v="Eternal Fire"/>
    <x v="0"/>
    <x v="0"/>
    <s v="Eternal Fire v Evil Geniuses"/>
    <x v="0"/>
    <x v="0"/>
    <s v="0-2"/>
    <n v="4"/>
    <n v="2.2400000000000002"/>
    <x v="1"/>
    <n v="-4"/>
    <m/>
  </r>
  <r>
    <x v="4"/>
    <x v="0"/>
    <s v="Team One"/>
    <x v="0"/>
    <x v="0"/>
    <s v="Team One v BHOP"/>
    <x v="0"/>
    <x v="0"/>
    <s v="25-23"/>
    <n v="4"/>
    <n v="1.68"/>
    <x v="0"/>
    <n v="2.7199999999999998"/>
    <m/>
  </r>
  <r>
    <x v="4"/>
    <x v="0"/>
    <s v="MOB"/>
    <x v="0"/>
    <x v="0"/>
    <s v="River Plat v MOB"/>
    <x v="0"/>
    <x v="0"/>
    <s v="16-10"/>
    <n v="4"/>
    <n v="1.5"/>
    <x v="1"/>
    <n v="-4"/>
    <m/>
  </r>
  <r>
    <x v="4"/>
    <x v="0"/>
    <s v="Liquid"/>
    <x v="0"/>
    <x v="0"/>
    <s v="Team Liquid v Furia"/>
    <x v="0"/>
    <x v="0"/>
    <s v="1-2"/>
    <n v="4"/>
    <n v="1.66"/>
    <x v="1"/>
    <n v="-4"/>
    <m/>
  </r>
  <r>
    <x v="4"/>
    <x v="0"/>
    <s v="Mouz"/>
    <x v="0"/>
    <x v="0"/>
    <s v="Mouz v Sinners"/>
    <x v="0"/>
    <x v="0"/>
    <s v="16-14"/>
    <n v="4"/>
    <n v="1.62"/>
    <x v="0"/>
    <n v="2.4800000000000004"/>
    <m/>
  </r>
  <r>
    <x v="4"/>
    <x v="0"/>
    <s v="Paqueta"/>
    <x v="0"/>
    <x v="0"/>
    <s v="Paqueta v Furia Acad map 2"/>
    <x v="0"/>
    <x v="0"/>
    <s v="16-9"/>
    <n v="4"/>
    <n v="1.62"/>
    <x v="0"/>
    <n v="2.4800000000000004"/>
    <m/>
  </r>
  <r>
    <x v="4"/>
    <x v="0"/>
    <s v="Nouns +8,5"/>
    <x v="2"/>
    <x v="0"/>
    <s v="Nouns v Team One map 1"/>
    <x v="0"/>
    <x v="0"/>
    <s v="7-16"/>
    <n v="4"/>
    <n v="1.78"/>
    <x v="1"/>
    <n v="-4"/>
    <m/>
  </r>
  <r>
    <x v="4"/>
    <x v="0"/>
    <s v="Union"/>
    <x v="0"/>
    <x v="0"/>
    <s v="Furious v Union"/>
    <x v="0"/>
    <x v="0"/>
    <s v="6-16"/>
    <n v="4"/>
    <n v="1.76"/>
    <x v="0"/>
    <n v="3.04"/>
    <m/>
  </r>
  <r>
    <x v="4"/>
    <x v="0"/>
    <s v="Union"/>
    <x v="0"/>
    <x v="0"/>
    <s v="Furious v Union"/>
    <x v="0"/>
    <x v="0"/>
    <s v="6-16"/>
    <n v="4"/>
    <n v="1.8"/>
    <x v="0"/>
    <n v="3.2"/>
    <m/>
  </r>
  <r>
    <x v="5"/>
    <x v="0"/>
    <s v="Evil Geniuses"/>
    <x v="0"/>
    <x v="0"/>
    <s v="Movistar Riders v Evil Geniuses map 1"/>
    <x v="0"/>
    <x v="0"/>
    <s v="9-16"/>
    <n v="4"/>
    <n v="1.9159999999999999"/>
    <x v="0"/>
    <n v="3.6639999999999997"/>
    <m/>
  </r>
  <r>
    <x v="5"/>
    <x v="0"/>
    <s v="Movistar Riders"/>
    <x v="0"/>
    <x v="0"/>
    <s v="Movistar Riders v Evil Geniuses map 2"/>
    <x v="0"/>
    <x v="0"/>
    <s v="8-16"/>
    <n v="4"/>
    <n v="1.73"/>
    <x v="1"/>
    <n v="-4"/>
    <m/>
  </r>
  <r>
    <x v="5"/>
    <x v="0"/>
    <s v="Los Kogutos"/>
    <x v="0"/>
    <x v="0"/>
    <s v="Los Kogutos v Illuminar map 2"/>
    <x v="0"/>
    <x v="0"/>
    <s v="1-16"/>
    <n v="4"/>
    <n v="1.69"/>
    <x v="1"/>
    <n v="-4"/>
    <m/>
  </r>
  <r>
    <x v="5"/>
    <x v="0"/>
    <s v="Liquid -1,5"/>
    <x v="1"/>
    <x v="0"/>
    <s v="Team Liquid v Eternal Fire"/>
    <x v="0"/>
    <x v="0"/>
    <s v="0-2"/>
    <n v="4"/>
    <n v="1.72"/>
    <x v="1"/>
    <n v="-4"/>
    <m/>
  </r>
  <r>
    <x v="5"/>
    <x v="0"/>
    <s v="Meta Gaming BR"/>
    <x v="0"/>
    <x v="0"/>
    <s v="Meta Gaming BR v Isurus map 2"/>
    <x v="0"/>
    <x v="0"/>
    <s v="12-16"/>
    <n v="4"/>
    <n v="1.3"/>
    <x v="1"/>
    <n v="-4"/>
    <m/>
  </r>
  <r>
    <x v="5"/>
    <x v="0"/>
    <s v="MOB"/>
    <x v="0"/>
    <x v="0"/>
    <s v="MOB v Furious"/>
    <x v="0"/>
    <x v="0"/>
    <s v="2-1"/>
    <n v="4"/>
    <n v="1.645"/>
    <x v="0"/>
    <n v="2.58"/>
    <m/>
  </r>
  <r>
    <x v="5"/>
    <x v="0"/>
    <s v="Team One +1,5"/>
    <x v="1"/>
    <x v="0"/>
    <s v="Team One v Evil Geniuses White"/>
    <x v="0"/>
    <x v="0"/>
    <s v="2-0"/>
    <n v="4"/>
    <n v="1.3440000000000001"/>
    <x v="0"/>
    <n v="1.3760000000000003"/>
    <m/>
  </r>
  <r>
    <x v="5"/>
    <x v="0"/>
    <s v="Furia +4,5"/>
    <x v="2"/>
    <x v="0"/>
    <s v="Cloud9 v Furia map 1"/>
    <x v="0"/>
    <x v="0"/>
    <s v="16-8"/>
    <n v="4"/>
    <n v="1.56"/>
    <x v="1"/>
    <n v="-4"/>
    <m/>
  </r>
  <r>
    <x v="5"/>
    <x v="0"/>
    <s v="Fluxo -2,5"/>
    <x v="1"/>
    <x v="0"/>
    <s v="Corinthians v Fluxo"/>
    <x v="0"/>
    <x v="0"/>
    <s v="1-2"/>
    <n v="4"/>
    <n v="1.82"/>
    <x v="1"/>
    <n v="-4"/>
    <m/>
  </r>
  <r>
    <x v="5"/>
    <x v="0"/>
    <m/>
    <x v="3"/>
    <x v="0"/>
    <m/>
    <x v="0"/>
    <x v="0"/>
    <m/>
    <n v="2"/>
    <n v="6.2771299999999997"/>
    <x v="1"/>
    <n v="-2"/>
    <m/>
  </r>
  <r>
    <x v="5"/>
    <x v="0"/>
    <s v="MOB"/>
    <x v="0"/>
    <x v="0"/>
    <s v="MOB v Furious"/>
    <x v="0"/>
    <x v="0"/>
    <s v="2-1"/>
    <m/>
    <n v="1.65"/>
    <x v="2"/>
    <n v="0"/>
    <m/>
  </r>
  <r>
    <x v="5"/>
    <x v="0"/>
    <s v="Team One +1,5"/>
    <x v="1"/>
    <x v="0"/>
    <s v="Team One v Evil Geniuses White"/>
    <x v="0"/>
    <x v="0"/>
    <s v="2-0"/>
    <m/>
    <n v="1.34"/>
    <x v="2"/>
    <n v="0"/>
    <m/>
  </r>
  <r>
    <x v="5"/>
    <x v="0"/>
    <s v="Furia +4,5"/>
    <x v="2"/>
    <x v="0"/>
    <s v="Cloud0 v Furia map 1"/>
    <x v="0"/>
    <x v="0"/>
    <s v="16-8"/>
    <m/>
    <n v="1.56"/>
    <x v="2"/>
    <n v="0"/>
    <m/>
  </r>
  <r>
    <x v="5"/>
    <x v="0"/>
    <s v="Fluxo -2,5"/>
    <x v="1"/>
    <x v="0"/>
    <s v="Corinthians v Fluxo"/>
    <x v="0"/>
    <x v="0"/>
    <s v="1-2"/>
    <m/>
    <n v="1.82"/>
    <x v="2"/>
    <n v="0"/>
    <m/>
  </r>
  <r>
    <x v="6"/>
    <x v="0"/>
    <s v="Havu"/>
    <x v="0"/>
    <x v="0"/>
    <s v="Havu v Masonic"/>
    <x v="0"/>
    <x v="0"/>
    <s v="0-2"/>
    <n v="4"/>
    <n v="1.708"/>
    <x v="1"/>
    <n v="-4"/>
    <m/>
  </r>
  <r>
    <x v="6"/>
    <x v="0"/>
    <s v="Into the Breach"/>
    <x v="0"/>
    <x v="0"/>
    <s v="Anonymo v Into the Breach"/>
    <x v="0"/>
    <x v="0"/>
    <s v="2-0"/>
    <n v="5"/>
    <n v="1.5980000000000001"/>
    <x v="1"/>
    <n v="-5"/>
    <m/>
  </r>
  <r>
    <x v="6"/>
    <x v="1"/>
    <s v="Team BDS Acad"/>
    <x v="0"/>
    <x v="0"/>
    <s v="Team Heretics v Team BDS Acad map 2"/>
    <x v="1"/>
    <x v="0"/>
    <s v="17-15"/>
    <n v="4"/>
    <n v="1.49"/>
    <x v="1"/>
    <n v="-4"/>
    <m/>
  </r>
  <r>
    <x v="6"/>
    <x v="0"/>
    <s v="Masonic +1,5"/>
    <x v="1"/>
    <x v="0"/>
    <s v="Ecstatic v Masonic"/>
    <x v="0"/>
    <x v="0"/>
    <s v="2-1"/>
    <n v="5.94"/>
    <n v="1.532"/>
    <x v="0"/>
    <n v="3.1600800000000002"/>
    <m/>
  </r>
  <r>
    <x v="6"/>
    <x v="0"/>
    <s v="Cloud9"/>
    <x v="0"/>
    <x v="0"/>
    <s v="Cloud9 v Team Liquid"/>
    <x v="0"/>
    <x v="0"/>
    <s v="0-2"/>
    <n v="4"/>
    <n v="4.37"/>
    <x v="1"/>
    <n v="-4"/>
    <m/>
  </r>
  <r>
    <x v="6"/>
    <x v="0"/>
    <s v="Eternal Fire"/>
    <x v="0"/>
    <x v="0"/>
    <s v="Sinners v Eternal Fire"/>
    <x v="0"/>
    <x v="0"/>
    <s v="1-2"/>
    <n v="4"/>
    <n v="1.67"/>
    <x v="0"/>
    <n v="2.6799999999999997"/>
    <m/>
  </r>
  <r>
    <x v="6"/>
    <x v="0"/>
    <s v="Into the Breach"/>
    <x v="0"/>
    <x v="0"/>
    <s v="Anonymo v Into the Breach"/>
    <x v="0"/>
    <x v="0"/>
    <s v="2-0"/>
    <n v="1.1000000000000001"/>
    <n v="1.85"/>
    <x v="1"/>
    <n v="-1.1000000000000001"/>
    <m/>
  </r>
  <r>
    <x v="7"/>
    <x v="0"/>
    <s v="Sinners"/>
    <x v="0"/>
    <x v="0"/>
    <s v="Team Finest v Sinners"/>
    <x v="0"/>
    <x v="0"/>
    <s v="1-2"/>
    <n v="6.68"/>
    <n v="1.748"/>
    <x v="0"/>
    <n v="4.9966400000000002"/>
    <m/>
  </r>
  <r>
    <x v="7"/>
    <x v="0"/>
    <s v="Meta Gaming BR -1,5"/>
    <x v="1"/>
    <x v="0"/>
    <s v="Meta Gaming BR v River Plate"/>
    <x v="0"/>
    <x v="0"/>
    <s v="2-1"/>
    <n v="4"/>
    <n v="1.7749999999999999"/>
    <x v="1"/>
    <n v="-4"/>
    <m/>
  </r>
  <r>
    <x v="8"/>
    <x v="0"/>
    <s v="Fnatic +1,5"/>
    <x v="1"/>
    <x v="0"/>
    <s v="Fnatic v Team Liquid"/>
    <x v="0"/>
    <x v="0"/>
    <s v="1-2"/>
    <n v="4"/>
    <n v="1.45"/>
    <x v="0"/>
    <n v="1.7999999999999998"/>
    <m/>
  </r>
  <r>
    <x v="8"/>
    <x v="0"/>
    <s v="Sinners +1,5"/>
    <x v="1"/>
    <x v="0"/>
    <s v="HEET v Sinners"/>
    <x v="0"/>
    <x v="0"/>
    <s v="2-1"/>
    <n v="3.68"/>
    <n v="1.6"/>
    <x v="0"/>
    <n v="2.2080000000000006"/>
    <m/>
  </r>
  <r>
    <x v="8"/>
    <x v="0"/>
    <s v="Faze"/>
    <x v="0"/>
    <x v="0"/>
    <s v="Faze v Complexity map 2"/>
    <x v="1"/>
    <x v="0"/>
    <s v="16-14"/>
    <n v="4"/>
    <n v="2.12"/>
    <x v="0"/>
    <n v="4.4800000000000004"/>
    <m/>
  </r>
  <r>
    <x v="8"/>
    <x v="0"/>
    <s v="Mythic"/>
    <x v="0"/>
    <x v="0"/>
    <s v="Mythic v Unjustified Gaming"/>
    <x v="0"/>
    <x v="0"/>
    <s v="2-1"/>
    <n v="4"/>
    <n v="1.5349999999999999"/>
    <x v="0"/>
    <n v="2.1399999999999997"/>
    <m/>
  </r>
  <r>
    <x v="8"/>
    <x v="0"/>
    <s v="Finest"/>
    <x v="0"/>
    <x v="0"/>
    <s v="Team Finest v Illuminar"/>
    <x v="0"/>
    <x v="0"/>
    <s v="2-0"/>
    <n v="4"/>
    <n v="1.675"/>
    <x v="0"/>
    <n v="2.7"/>
    <m/>
  </r>
  <r>
    <x v="9"/>
    <x v="0"/>
    <s v="Outsiders +1,5"/>
    <x v="1"/>
    <x v="0"/>
    <s v="Furia v Outsiders"/>
    <x v="0"/>
    <x v="0"/>
    <s v="1-2"/>
    <n v="4"/>
    <n v="1.36"/>
    <x v="0"/>
    <n v="1.4400000000000004"/>
    <m/>
  </r>
  <r>
    <x v="10"/>
    <x v="0"/>
    <s v="Bluejays"/>
    <x v="0"/>
    <x v="0"/>
    <s v="Bluejays v Masonic map 2"/>
    <x v="0"/>
    <x v="0"/>
    <s v="16-12"/>
    <n v="4"/>
    <n v="1.76"/>
    <x v="0"/>
    <n v="3.04"/>
    <m/>
  </r>
  <r>
    <x v="11"/>
    <x v="0"/>
    <s v="G2 +1,5"/>
    <x v="1"/>
    <x v="0"/>
    <s v="G2 v NaVi"/>
    <x v="0"/>
    <x v="0"/>
    <s v="2-1"/>
    <n v="4"/>
    <n v="1.44"/>
    <x v="0"/>
    <n v="1.7599999999999998"/>
    <m/>
  </r>
  <r>
    <x v="11"/>
    <x v="0"/>
    <s v="Finest +1,5"/>
    <x v="1"/>
    <x v="0"/>
    <s v="Team Finest v Forze"/>
    <x v="0"/>
    <x v="0"/>
    <s v="0-2"/>
    <n v="4"/>
    <n v="1.45"/>
    <x v="1"/>
    <n v="-4"/>
    <m/>
  </r>
  <r>
    <x v="11"/>
    <x v="0"/>
    <s v="Finest"/>
    <x v="0"/>
    <x v="0"/>
    <s v="Team Finest v Forze map 2"/>
    <x v="0"/>
    <x v="0"/>
    <s v="15-19"/>
    <n v="4"/>
    <n v="2.04"/>
    <x v="1"/>
    <n v="-4"/>
    <m/>
  </r>
  <r>
    <x v="11"/>
    <x v="0"/>
    <s v="Skade X"/>
    <x v="0"/>
    <x v="0"/>
    <s v="Skade X v Titans map 1"/>
    <x v="0"/>
    <x v="0"/>
    <s v="10-16"/>
    <n v="4"/>
    <n v="1.92"/>
    <x v="1"/>
    <n v="-4"/>
    <m/>
  </r>
  <r>
    <x v="11"/>
    <x v="0"/>
    <m/>
    <x v="2"/>
    <x v="0"/>
    <s v="Vitality v Outsiders map 2"/>
    <x v="0"/>
    <x v="0"/>
    <s v="19-17"/>
    <n v="4"/>
    <n v="1.45"/>
    <x v="1"/>
    <n v="-4"/>
    <m/>
  </r>
  <r>
    <x v="11"/>
    <x v="0"/>
    <s v="Dynamo Eclot"/>
    <x v="0"/>
    <x v="0"/>
    <s v="Dynamo Eclot v Sangal Esports map 2"/>
    <x v="1"/>
    <x v="0"/>
    <s v="7-16"/>
    <n v="4"/>
    <n v="1.93"/>
    <x v="0"/>
    <n v="3.7199999999999998"/>
    <m/>
  </r>
  <r>
    <x v="11"/>
    <x v="0"/>
    <s v="Dynamo Eclot"/>
    <x v="0"/>
    <x v="0"/>
    <s v="Dynamo Eclot v Sangal Esports map 2"/>
    <x v="1"/>
    <x v="0"/>
    <s v="7-16"/>
    <n v="1.49"/>
    <n v="2.33"/>
    <x v="0"/>
    <n v="1.9817"/>
    <m/>
  </r>
  <r>
    <x v="11"/>
    <x v="0"/>
    <s v="G2"/>
    <x v="0"/>
    <x v="0"/>
    <s v="G2 v NaVi"/>
    <x v="0"/>
    <x v="0"/>
    <s v="2-1"/>
    <n v="4"/>
    <n v="1.85"/>
    <x v="0"/>
    <n v="3.4000000000000004"/>
    <m/>
  </r>
  <r>
    <x v="11"/>
    <x v="0"/>
    <s v="G2"/>
    <x v="0"/>
    <x v="0"/>
    <s v="G2 v NaVimap 2"/>
    <x v="0"/>
    <x v="0"/>
    <s v="16-9"/>
    <n v="4"/>
    <n v="1.82"/>
    <x v="0"/>
    <n v="3.2800000000000002"/>
    <m/>
  </r>
  <r>
    <x v="12"/>
    <x v="0"/>
    <s v="Liquid +1,5"/>
    <x v="1"/>
    <x v="0"/>
    <s v="Team Liquid v Cloud9"/>
    <x v="0"/>
    <x v="0"/>
    <s v="2-1"/>
    <n v="4"/>
    <n v="1.48"/>
    <x v="0"/>
    <n v="1.92"/>
    <m/>
  </r>
  <r>
    <x v="13"/>
    <x v="0"/>
    <s v="Vitality"/>
    <x v="0"/>
    <x v="0"/>
    <s v="Team Liquid v Vitality"/>
    <x v="1"/>
    <x v="0"/>
    <s v="2-3"/>
    <n v="4"/>
    <n v="1.45"/>
    <x v="0"/>
    <n v="1.7999999999999998"/>
    <m/>
  </r>
  <r>
    <x v="13"/>
    <x v="0"/>
    <s v="LDLC"/>
    <x v="0"/>
    <x v="0"/>
    <s v="LDLC v 00Prospects"/>
    <x v="0"/>
    <x v="0"/>
    <s v="1-2"/>
    <n v="4"/>
    <n v="1.31"/>
    <x v="1"/>
    <n v="-4"/>
    <m/>
  </r>
  <r>
    <x v="13"/>
    <x v="0"/>
    <s v="Partizan"/>
    <x v="0"/>
    <x v="0"/>
    <s v="OG Acad v Partizan Esports"/>
    <x v="0"/>
    <x v="0"/>
    <s v="0-2"/>
    <n v="4"/>
    <n v="1.54"/>
    <x v="0"/>
    <n v="2.16"/>
    <m/>
  </r>
  <r>
    <x v="13"/>
    <x v="0"/>
    <s v="Partizan"/>
    <x v="0"/>
    <x v="0"/>
    <s v="OG Acad v Partizan Esports"/>
    <x v="1"/>
    <x v="0"/>
    <s v="0-2"/>
    <n v="4"/>
    <n v="1.85"/>
    <x v="0"/>
    <n v="3.4000000000000004"/>
    <m/>
  </r>
  <r>
    <x v="13"/>
    <x v="0"/>
    <s v="Vitality"/>
    <x v="0"/>
    <x v="0"/>
    <s v="Team Liquid v Vitality map 2"/>
    <x v="1"/>
    <x v="0"/>
    <s v="7-16"/>
    <n v="4"/>
    <n v="1.5"/>
    <x v="0"/>
    <n v="2"/>
    <m/>
  </r>
  <r>
    <x v="13"/>
    <x v="0"/>
    <s v="Vitality"/>
    <x v="0"/>
    <x v="0"/>
    <s v="Team Liquid v Vitality map 3"/>
    <x v="1"/>
    <x v="0"/>
    <s v="25-21"/>
    <n v="4"/>
    <n v="1.73"/>
    <x v="1"/>
    <n v="-4"/>
    <m/>
  </r>
  <r>
    <x v="13"/>
    <x v="0"/>
    <s v="Vitality"/>
    <x v="0"/>
    <x v="0"/>
    <s v="Team Liquid v Vitality"/>
    <x v="1"/>
    <x v="0"/>
    <s v="2-3"/>
    <n v="4"/>
    <n v="1.49"/>
    <x v="0"/>
    <n v="1.96"/>
    <m/>
  </r>
  <r>
    <x v="14"/>
    <x v="0"/>
    <s v="Spirit"/>
    <x v="0"/>
    <x v="0"/>
    <s v="Spirit v 1Win"/>
    <x v="0"/>
    <x v="0"/>
    <s v="16-9"/>
    <n v="6"/>
    <n v="1.55"/>
    <x v="0"/>
    <n v="3.3000000000000003"/>
    <m/>
  </r>
  <r>
    <x v="15"/>
    <x v="0"/>
    <s v="NIP"/>
    <x v="0"/>
    <x v="0"/>
    <s v="NIP v Astralis"/>
    <x v="0"/>
    <x v="0"/>
    <s v="16-12"/>
    <n v="4"/>
    <n v="1.6579999999999999"/>
    <x v="0"/>
    <n v="2.6319999999999997"/>
    <m/>
  </r>
  <r>
    <x v="15"/>
    <x v="0"/>
    <s v="Forze"/>
    <x v="0"/>
    <x v="0"/>
    <s v="Forze v 1Win"/>
    <x v="0"/>
    <x v="0"/>
    <s v="14-16"/>
    <n v="4"/>
    <n v="1.6080000000000001"/>
    <x v="1"/>
    <n v="-4"/>
    <m/>
  </r>
  <r>
    <x v="16"/>
    <x v="0"/>
    <s v="Faze"/>
    <x v="0"/>
    <x v="0"/>
    <s v="Faze v Fnatic"/>
    <x v="0"/>
    <x v="0"/>
    <s v="19-17"/>
    <n v="4"/>
    <n v="1.53"/>
    <x v="0"/>
    <n v="2.12"/>
    <m/>
  </r>
  <r>
    <x v="16"/>
    <x v="0"/>
    <s v="Team One"/>
    <x v="0"/>
    <x v="0"/>
    <s v="O Plano v Team One"/>
    <x v="1"/>
    <x v="0"/>
    <s v="16-10"/>
    <n v="4"/>
    <n v="2.02"/>
    <x v="1"/>
    <n v="-4"/>
    <m/>
  </r>
  <r>
    <x v="17"/>
    <x v="0"/>
    <s v="Forze"/>
    <x v="0"/>
    <x v="0"/>
    <s v="Forze v Ecstatic map 2"/>
    <x v="0"/>
    <x v="0"/>
    <s v="16-7"/>
    <n v="4"/>
    <n v="1.41"/>
    <x v="0"/>
    <n v="1.6399999999999997"/>
    <m/>
  </r>
  <r>
    <x v="17"/>
    <x v="0"/>
    <s v="NaVi"/>
    <x v="0"/>
    <x v="0"/>
    <s v="NaVi v Outsiders"/>
    <x v="0"/>
    <x v="0"/>
    <s v="16-4"/>
    <n v="4"/>
    <n v="1.47"/>
    <x v="0"/>
    <n v="1.88"/>
    <m/>
  </r>
  <r>
    <x v="17"/>
    <x v="0"/>
    <s v="OG"/>
    <x v="0"/>
    <x v="0"/>
    <s v="Falcons v OG"/>
    <x v="0"/>
    <x v="0"/>
    <s v="12-16"/>
    <n v="4"/>
    <n v="1.31"/>
    <x v="0"/>
    <n v="1.2400000000000002"/>
    <m/>
  </r>
  <r>
    <x v="17"/>
    <x v="0"/>
    <s v="Faze"/>
    <x v="0"/>
    <x v="0"/>
    <s v="Faze v Sprout map 2"/>
    <x v="1"/>
    <x v="0"/>
    <s v="16-19"/>
    <n v="4"/>
    <n v="1.89"/>
    <x v="1"/>
    <n v="-4"/>
    <m/>
  </r>
  <r>
    <x v="17"/>
    <x v="0"/>
    <s v="Cloud9"/>
    <x v="0"/>
    <x v="0"/>
    <s v="Cloud9 v NIP map 2"/>
    <x v="1"/>
    <x v="0"/>
    <s v="16-11"/>
    <n v="4"/>
    <n v="1.48"/>
    <x v="0"/>
    <n v="1.92"/>
    <m/>
  </r>
  <r>
    <x v="18"/>
    <x v="0"/>
    <s v="Fnatic"/>
    <x v="0"/>
    <x v="0"/>
    <s v="Fnatic v Eternal Fire"/>
    <x v="0"/>
    <x v="0"/>
    <s v="2-0"/>
    <n v="6"/>
    <n v="1.6579999999999999"/>
    <x v="0"/>
    <n v="3.9479999999999995"/>
    <m/>
  </r>
  <r>
    <x v="18"/>
    <x v="0"/>
    <s v="Bad News Eagles"/>
    <x v="0"/>
    <x v="0"/>
    <s v="Spirit v Bad News Eagles"/>
    <x v="0"/>
    <x v="0"/>
    <s v="2-0"/>
    <n v="4"/>
    <n v="2.17"/>
    <x v="1"/>
    <n v="-4"/>
    <m/>
  </r>
  <r>
    <x v="18"/>
    <x v="0"/>
    <s v="Forze"/>
    <x v="0"/>
    <x v="0"/>
    <s v="Astralis v Forze"/>
    <x v="0"/>
    <x v="0"/>
    <s v="0-2"/>
    <n v="4"/>
    <n v="2.2799999999999998"/>
    <x v="0"/>
    <n v="5.1199999999999992"/>
    <m/>
  </r>
  <r>
    <x v="18"/>
    <x v="0"/>
    <s v="HEET"/>
    <x v="0"/>
    <x v="0"/>
    <s v="HEET v Saw"/>
    <x v="0"/>
    <x v="0"/>
    <s v="2-1"/>
    <n v="4"/>
    <n v="1.6479999999999999"/>
    <x v="0"/>
    <n v="2.5919999999999996"/>
    <m/>
  </r>
  <r>
    <x v="18"/>
    <x v="0"/>
    <s v="Ence"/>
    <x v="0"/>
    <x v="0"/>
    <s v="Ence v Big"/>
    <x v="0"/>
    <x v="0"/>
    <s v="2-0"/>
    <n v="4"/>
    <n v="2.12"/>
    <x v="0"/>
    <n v="4.4800000000000004"/>
    <m/>
  </r>
  <r>
    <x v="18"/>
    <x v="0"/>
    <s v="IHC"/>
    <x v="0"/>
    <x v="0"/>
    <s v="IHC v JiJie International"/>
    <x v="0"/>
    <x v="0"/>
    <s v="2-0"/>
    <n v="4"/>
    <n v="1.73"/>
    <x v="0"/>
    <n v="2.92"/>
    <m/>
  </r>
  <r>
    <x v="18"/>
    <x v="0"/>
    <s v="Complexity"/>
    <x v="0"/>
    <x v="0"/>
    <s v="Complexity v 00Nation"/>
    <x v="0"/>
    <x v="0"/>
    <s v="1-2"/>
    <n v="4"/>
    <n v="1.464"/>
    <x v="1"/>
    <n v="-4"/>
    <m/>
  </r>
  <r>
    <x v="18"/>
    <x v="0"/>
    <s v="G2"/>
    <x v="0"/>
    <x v="0"/>
    <s v="GamerLegion v G2"/>
    <x v="1"/>
    <x v="0"/>
    <s v="2-1"/>
    <n v="4"/>
    <n v="1.6"/>
    <x v="1"/>
    <n v="-4"/>
    <m/>
  </r>
  <r>
    <x v="18"/>
    <x v="0"/>
    <s v="Imperial"/>
    <x v="0"/>
    <x v="0"/>
    <s v="Imperial v Team One map 2"/>
    <x v="1"/>
    <x v="0"/>
    <s v="16-19"/>
    <n v="4"/>
    <n v="2.2200000000000002"/>
    <x v="1"/>
    <n v="-4"/>
    <m/>
  </r>
  <r>
    <x v="19"/>
    <x v="0"/>
    <s v="Grayhound"/>
    <x v="0"/>
    <x v="0"/>
    <s v="IHC v Grayhound"/>
    <x v="0"/>
    <x v="0"/>
    <s v="2-0"/>
    <n v="4"/>
    <n v="2.2959999999999998"/>
    <x v="1"/>
    <n v="-4"/>
    <m/>
  </r>
  <r>
    <x v="19"/>
    <x v="0"/>
    <s v="Grayhound +1,5"/>
    <x v="1"/>
    <x v="0"/>
    <s v="IHC v Grayhound"/>
    <x v="0"/>
    <x v="0"/>
    <s v="2-0"/>
    <n v="6"/>
    <n v="1.41"/>
    <x v="1"/>
    <n v="-6"/>
    <m/>
  </r>
  <r>
    <x v="19"/>
    <x v="0"/>
    <s v="Heroic"/>
    <x v="0"/>
    <x v="0"/>
    <s v="BIG v Heroic"/>
    <x v="0"/>
    <x v="0"/>
    <s v="0-2"/>
    <n v="6"/>
    <n v="1.5049999999999999"/>
    <x v="0"/>
    <n v="3.0299999999999994"/>
    <m/>
  </r>
  <r>
    <x v="19"/>
    <x v="0"/>
    <s v="Mouz +1,5"/>
    <x v="1"/>
    <x v="0"/>
    <s v="Mouz v Vitality"/>
    <x v="0"/>
    <x v="0"/>
    <s v="1-2"/>
    <n v="4"/>
    <n v="1.58"/>
    <x v="0"/>
    <n v="2.3200000000000003"/>
    <m/>
  </r>
  <r>
    <x v="19"/>
    <x v="0"/>
    <s v="Heroic"/>
    <x v="0"/>
    <x v="0"/>
    <s v="BIG v Heroic map 2"/>
    <x v="1"/>
    <x v="0"/>
    <s v="12-16"/>
    <n v="4"/>
    <n v="1.69"/>
    <x v="0"/>
    <n v="2.76"/>
    <m/>
  </r>
  <r>
    <x v="19"/>
    <x v="0"/>
    <s v="Vitality"/>
    <x v="0"/>
    <x v="0"/>
    <s v="Mouz v Vitality"/>
    <x v="1"/>
    <x v="0"/>
    <s v="1-2"/>
    <n v="4"/>
    <n v="1.49"/>
    <x v="0"/>
    <n v="1.96"/>
    <m/>
  </r>
  <r>
    <x v="20"/>
    <x v="0"/>
    <s v="JiJiehao Int"/>
    <x v="1"/>
    <x v="0"/>
    <s v="JiJie International v Grayhound"/>
    <x v="0"/>
    <x v="0"/>
    <s v="0-2"/>
    <n v="4"/>
    <n v="1.49"/>
    <x v="1"/>
    <n v="-4"/>
    <m/>
  </r>
  <r>
    <x v="20"/>
    <x v="2"/>
    <s v="Under 42"/>
    <x v="5"/>
    <x v="1"/>
    <s v="Green Bay Packers v  NY Giants"/>
    <x v="0"/>
    <x v="0"/>
    <s v="22-27"/>
    <n v="4"/>
    <n v="1.8"/>
    <x v="1"/>
    <n v="-4"/>
    <m/>
  </r>
  <r>
    <x v="20"/>
    <x v="0"/>
    <s v="Imperial"/>
    <x v="0"/>
    <x v="0"/>
    <s v="Imperial v Pain map 2"/>
    <x v="1"/>
    <x v="0"/>
    <s v="16-19"/>
    <n v="6"/>
    <n v="1.39"/>
    <x v="0"/>
    <n v="2.3399999999999994"/>
    <m/>
  </r>
  <r>
    <x v="20"/>
    <x v="0"/>
    <s v="Cloud9"/>
    <x v="0"/>
    <x v="0"/>
    <s v="Team Spirit v Cloud9 map 2"/>
    <x v="1"/>
    <x v="0"/>
    <s v="16-8"/>
    <n v="6"/>
    <n v="1.84"/>
    <x v="1"/>
    <n v="-6"/>
    <m/>
  </r>
  <r>
    <x v="20"/>
    <x v="0"/>
    <s v="Sangal"/>
    <x v="0"/>
    <x v="0"/>
    <s v="Mouz v Sangal map 1"/>
    <x v="1"/>
    <x v="0"/>
    <s v="19-16"/>
    <n v="6"/>
    <n v="2.0699999999999998"/>
    <x v="1"/>
    <n v="-6"/>
    <m/>
  </r>
  <r>
    <x v="20"/>
    <x v="0"/>
    <s v="Mouz"/>
    <x v="0"/>
    <x v="0"/>
    <s v="Mouz v Sangal map 2"/>
    <x v="1"/>
    <x v="0"/>
    <s v="9-16"/>
    <n v="8"/>
    <n v="1.93"/>
    <x v="1"/>
    <n v="-8"/>
    <m/>
  </r>
  <r>
    <x v="20"/>
    <x v="0"/>
    <s v="Cloud9"/>
    <x v="0"/>
    <x v="0"/>
    <s v="Spirit v Cloud9"/>
    <x v="1"/>
    <x v="0"/>
    <s v="2-1"/>
    <n v="9.07"/>
    <n v="1.47"/>
    <x v="1"/>
    <n v="-9.07"/>
    <m/>
  </r>
  <r>
    <x v="20"/>
    <x v="0"/>
    <s v="Heroic"/>
    <x v="0"/>
    <x v="0"/>
    <s v="OG v Heroic"/>
    <x v="1"/>
    <x v="0"/>
    <s v="1-2"/>
    <n v="4"/>
    <n v="1.39"/>
    <x v="0"/>
    <n v="1.5599999999999996"/>
    <m/>
  </r>
  <r>
    <x v="20"/>
    <x v="0"/>
    <s v="Complexity"/>
    <x v="0"/>
    <x v="0"/>
    <s v="Complexity v Imperial map 2"/>
    <x v="1"/>
    <x v="0"/>
    <s v="16-11"/>
    <n v="4"/>
    <n v="1.61"/>
    <x v="0"/>
    <n v="2.4400000000000004"/>
    <m/>
  </r>
  <r>
    <x v="21"/>
    <x v="0"/>
    <s v="IKLA"/>
    <x v="0"/>
    <x v="0"/>
    <s v="IKLA v Into the Breach"/>
    <x v="0"/>
    <x v="0"/>
    <s v="-"/>
    <n v="4"/>
    <n v="1.712"/>
    <x v="3"/>
    <n v="0"/>
    <m/>
  </r>
  <r>
    <x v="21"/>
    <x v="0"/>
    <s v="Tricked"/>
    <x v="0"/>
    <x v="0"/>
    <s v="Tricked v needDoctor map 1"/>
    <x v="1"/>
    <x v="0"/>
    <s v="16-9"/>
    <n v="8"/>
    <n v="1.56"/>
    <x v="0"/>
    <n v="4.4800000000000004"/>
    <m/>
  </r>
  <r>
    <x v="21"/>
    <x v="0"/>
    <s v="Avangar"/>
    <x v="0"/>
    <x v="0"/>
    <s v="Avangar v Anonymo"/>
    <x v="0"/>
    <x v="0"/>
    <s v="2-0"/>
    <n v="4"/>
    <n v="1.62"/>
    <x v="0"/>
    <n v="2.4800000000000004"/>
    <m/>
  </r>
  <r>
    <x v="21"/>
    <x v="0"/>
    <s v="needDoctor"/>
    <x v="0"/>
    <x v="0"/>
    <s v="Tricked v needDoctor map 2"/>
    <x v="1"/>
    <x v="0"/>
    <s v="16-12"/>
    <n v="4"/>
    <n v="2.0099999999999998"/>
    <x v="1"/>
    <n v="-4"/>
    <m/>
  </r>
  <r>
    <x v="21"/>
    <x v="0"/>
    <s v="LDLC +1,5"/>
    <x v="1"/>
    <x v="0"/>
    <s v="LDLC v HEET"/>
    <x v="0"/>
    <x v="0"/>
    <s v="-"/>
    <n v="4"/>
    <n v="1.6559999999999999"/>
    <x v="3"/>
    <n v="0"/>
    <m/>
  </r>
  <r>
    <x v="21"/>
    <x v="0"/>
    <s v="Avangar"/>
    <x v="0"/>
    <x v="0"/>
    <s v="Cryptova v Avangar map 1"/>
    <x v="1"/>
    <x v="0"/>
    <s v="14-16"/>
    <n v="4"/>
    <n v="1.54"/>
    <x v="0"/>
    <n v="2.16"/>
    <m/>
  </r>
  <r>
    <x v="21"/>
    <x v="3"/>
    <s v="Wave +0,5"/>
    <x v="1"/>
    <x v="0"/>
    <s v="Wave Tsunami v Alternate aTTax"/>
    <x v="0"/>
    <x v="0"/>
    <s v="1-1"/>
    <n v="4"/>
    <n v="1.58"/>
    <x v="0"/>
    <n v="2.3200000000000003"/>
    <m/>
  </r>
  <r>
    <x v="21"/>
    <x v="0"/>
    <s v="Forsaken"/>
    <x v="0"/>
    <x v="0"/>
    <s v="Los Kogutos v Forsaken"/>
    <x v="1"/>
    <x v="0"/>
    <s v="16-11"/>
    <n v="4"/>
    <n v="1.88"/>
    <x v="1"/>
    <n v="-4"/>
    <m/>
  </r>
  <r>
    <x v="21"/>
    <x v="0"/>
    <s v="Los Kogutos"/>
    <x v="0"/>
    <x v="0"/>
    <s v="Avez v Los Kogutos"/>
    <x v="1"/>
    <x v="0"/>
    <s v="2-1"/>
    <n v="4"/>
    <n v="1.43"/>
    <x v="1"/>
    <n v="-4"/>
    <m/>
  </r>
  <r>
    <x v="21"/>
    <x v="0"/>
    <s v="Avangar"/>
    <x v="0"/>
    <x v="0"/>
    <s v="Cryptova v Avangar map 2"/>
    <x v="1"/>
    <x v="0"/>
    <s v="16-14"/>
    <n v="4"/>
    <n v="1.93"/>
    <x v="1"/>
    <n v="-4"/>
    <m/>
  </r>
  <r>
    <x v="22"/>
    <x v="0"/>
    <s v="Eyeballers +1,5"/>
    <x v="1"/>
    <x v="0"/>
    <s v="Ecstatic v Eyeballers"/>
    <x v="0"/>
    <x v="0"/>
    <s v="0-2"/>
    <n v="4"/>
    <n v="1.38"/>
    <x v="0"/>
    <n v="1.5199999999999996"/>
    <m/>
  </r>
  <r>
    <x v="22"/>
    <x v="0"/>
    <s v="Partizan +1,5"/>
    <x v="1"/>
    <x v="0"/>
    <s v="IKLA v Partizan"/>
    <x v="0"/>
    <x v="0"/>
    <s v="2-0"/>
    <n v="4"/>
    <n v="1.51"/>
    <x v="1"/>
    <n v="-4"/>
    <m/>
  </r>
  <r>
    <x v="22"/>
    <x v="0"/>
    <s v="Tricked"/>
    <x v="0"/>
    <x v="0"/>
    <s v="Tricked v 9ine"/>
    <x v="0"/>
    <x v="0"/>
    <s v="2-0"/>
    <n v="2"/>
    <n v="1.83"/>
    <x v="0"/>
    <n v="1.6600000000000001"/>
    <m/>
  </r>
  <r>
    <x v="22"/>
    <x v="0"/>
    <s v="Wolsung"/>
    <x v="0"/>
    <x v="0"/>
    <s v="eSuba v Wolsung map 1"/>
    <x v="1"/>
    <x v="0"/>
    <s v="16-14"/>
    <n v="4"/>
    <n v="1.43"/>
    <x v="1"/>
    <n v="-4"/>
    <m/>
  </r>
  <r>
    <x v="22"/>
    <x v="0"/>
    <s v="Skade"/>
    <x v="0"/>
    <x v="0"/>
    <s v="Skade v Ungentium"/>
    <x v="1"/>
    <x v="0"/>
    <s v="16-11"/>
    <n v="4"/>
    <n v="1.49"/>
    <x v="0"/>
    <n v="1.96"/>
    <m/>
  </r>
  <r>
    <x v="22"/>
    <x v="0"/>
    <s v="Sprout"/>
    <x v="0"/>
    <x v="0"/>
    <s v="Finest v Sprout map 1"/>
    <x v="1"/>
    <x v="0"/>
    <s v="19-16"/>
    <n v="4"/>
    <n v="1.91"/>
    <x v="1"/>
    <n v="-4"/>
    <m/>
  </r>
  <r>
    <x v="22"/>
    <x v="0"/>
    <s v="Tricked"/>
    <x v="0"/>
    <x v="0"/>
    <s v="Tricked v 9ine map 1"/>
    <x v="1"/>
    <x v="0"/>
    <s v="16-13"/>
    <n v="8"/>
    <n v="1.8440000000000001"/>
    <x v="0"/>
    <n v="6.7520000000000007"/>
    <m/>
  </r>
  <r>
    <x v="22"/>
    <x v="0"/>
    <s v="Sprout"/>
    <x v="0"/>
    <x v="0"/>
    <s v="Finest v Sprout map 2"/>
    <x v="1"/>
    <x v="0"/>
    <s v="10-16"/>
    <n v="8"/>
    <n v="1.62"/>
    <x v="0"/>
    <n v="4.9600000000000009"/>
    <m/>
  </r>
  <r>
    <x v="22"/>
    <x v="0"/>
    <s v="Sprout"/>
    <x v="0"/>
    <x v="0"/>
    <s v="Finest v Sprout"/>
    <x v="1"/>
    <x v="0"/>
    <s v="2-1"/>
    <n v="4"/>
    <n v="2.33"/>
    <x v="1"/>
    <n v="-4"/>
    <m/>
  </r>
  <r>
    <x v="22"/>
    <x v="0"/>
    <s v="Tricked"/>
    <x v="0"/>
    <x v="0"/>
    <s v="Tricked v 9ine map 2"/>
    <x v="1"/>
    <x v="0"/>
    <s v="16-7"/>
    <n v="4"/>
    <n v="2.08"/>
    <x v="0"/>
    <n v="4.32"/>
    <m/>
  </r>
  <r>
    <x v="22"/>
    <x v="0"/>
    <s v="Into the Breach"/>
    <x v="0"/>
    <x v="0"/>
    <s v="IKLA v Into the Breach map 1"/>
    <x v="1"/>
    <x v="0"/>
    <s v="9-16"/>
    <n v="4"/>
    <n v="1.96"/>
    <x v="0"/>
    <n v="3.84"/>
    <m/>
  </r>
  <r>
    <x v="23"/>
    <x v="0"/>
    <s v="Into the Breach"/>
    <x v="0"/>
    <x v="0"/>
    <s v="Into the Breach v Titans"/>
    <x v="0"/>
    <x v="0"/>
    <s v="2-1"/>
    <n v="4"/>
    <n v="1.55"/>
    <x v="0"/>
    <n v="2.2000000000000002"/>
    <m/>
  </r>
  <r>
    <x v="23"/>
    <x v="0"/>
    <s v="Antic"/>
    <x v="0"/>
    <x v="0"/>
    <s v="Antic v Yellow"/>
    <x v="0"/>
    <x v="0"/>
    <s v="2-0"/>
    <n v="4"/>
    <n v="1.46"/>
    <x v="0"/>
    <n v="1.8399999999999999"/>
    <m/>
  </r>
  <r>
    <x v="23"/>
    <x v="0"/>
    <s v="Saw"/>
    <x v="0"/>
    <x v="0"/>
    <s v="Dynamo Eclot v Saw"/>
    <x v="0"/>
    <x v="0"/>
    <s v="0-2"/>
    <n v="4"/>
    <n v="1.96"/>
    <x v="0"/>
    <n v="3.84"/>
    <m/>
  </r>
  <r>
    <x v="23"/>
    <x v="0"/>
    <s v="Fnatic Rising"/>
    <x v="0"/>
    <x v="0"/>
    <s v="Fnatic Rising v IKLA map 2"/>
    <x v="1"/>
    <x v="0"/>
    <s v="22-18"/>
    <n v="4"/>
    <n v="2.19"/>
    <x v="0"/>
    <n v="4.76"/>
    <m/>
  </r>
  <r>
    <x v="23"/>
    <x v="0"/>
    <s v="Fnatic Rising"/>
    <x v="0"/>
    <x v="0"/>
    <s v="Fnatic Rising v OG Acad"/>
    <x v="0"/>
    <x v="0"/>
    <s v="16-10"/>
    <n v="4"/>
    <n v="1.476"/>
    <x v="0"/>
    <n v="1.9039999999999999"/>
    <m/>
  </r>
  <r>
    <x v="23"/>
    <x v="0"/>
    <s v="Ago"/>
    <x v="0"/>
    <x v="0"/>
    <s v="Ago v Pact"/>
    <x v="0"/>
    <x v="0"/>
    <s v="2-0"/>
    <n v="4"/>
    <n v="1.77"/>
    <x v="0"/>
    <n v="3.08"/>
    <m/>
  </r>
  <r>
    <x v="23"/>
    <x v="0"/>
    <s v="Partizan"/>
    <x v="0"/>
    <x v="0"/>
    <s v="Blink v Partizan"/>
    <x v="0"/>
    <x v="0"/>
    <s v="0-2"/>
    <n v="4"/>
    <n v="1.556"/>
    <x v="0"/>
    <n v="2.2240000000000002"/>
    <m/>
  </r>
  <r>
    <x v="23"/>
    <x v="0"/>
    <s v="Titans"/>
    <x v="0"/>
    <x v="0"/>
    <s v="Into the Breach v Titans map 2"/>
    <x v="1"/>
    <x v="0"/>
    <s v="17-19"/>
    <n v="4"/>
    <n v="1.47"/>
    <x v="0"/>
    <n v="1.88"/>
    <m/>
  </r>
  <r>
    <x v="24"/>
    <x v="0"/>
    <s v="Tricked"/>
    <x v="0"/>
    <x v="0"/>
    <s v="Alternate v Tricked"/>
    <x v="0"/>
    <x v="0"/>
    <s v="0-2"/>
    <n v="4"/>
    <n v="1.68"/>
    <x v="0"/>
    <n v="2.7199999999999998"/>
    <m/>
  </r>
  <r>
    <x v="24"/>
    <x v="4"/>
    <s v="Under 5,5"/>
    <x v="5"/>
    <x v="1"/>
    <s v="Ducks v Kraken"/>
    <x v="0"/>
    <x v="0"/>
    <s v="5-4"/>
    <n v="4"/>
    <n v="2.0720000000000001"/>
    <x v="1"/>
    <n v="-4"/>
    <m/>
  </r>
  <r>
    <x v="24"/>
    <x v="0"/>
    <s v="Ago"/>
    <x v="0"/>
    <x v="0"/>
    <s v="Ago v Avez"/>
    <x v="0"/>
    <x v="0"/>
    <s v="2-0"/>
    <n v="4"/>
    <n v="1.3560000000000001"/>
    <x v="0"/>
    <n v="1.4240000000000004"/>
    <m/>
  </r>
  <r>
    <x v="24"/>
    <x v="5"/>
    <s v="Wildcard +2,5"/>
    <x v="2"/>
    <x v="1"/>
    <s v="Dire Wolves v Wildcard"/>
    <x v="0"/>
    <x v="0"/>
    <s v="7-2"/>
    <n v="4"/>
    <n v="1.65"/>
    <x v="1"/>
    <n v="-4"/>
    <m/>
  </r>
  <r>
    <x v="24"/>
    <x v="0"/>
    <s v="Fnatic Rising"/>
    <x v="0"/>
    <x v="0"/>
    <s v="Iron Wolves v Fnatic Rising"/>
    <x v="0"/>
    <x v="0"/>
    <s v="1-2"/>
    <n v="4"/>
    <n v="1.768"/>
    <x v="0"/>
    <n v="3.0720000000000001"/>
    <m/>
  </r>
  <r>
    <x v="24"/>
    <x v="5"/>
    <s v="XSET"/>
    <x v="0"/>
    <x v="1"/>
    <s v="XSET v DarkZero"/>
    <x v="0"/>
    <x v="0"/>
    <s v="1-7"/>
    <n v="4"/>
    <n v="2.19"/>
    <x v="1"/>
    <n v="-4"/>
    <m/>
  </r>
  <r>
    <x v="25"/>
    <x v="0"/>
    <s v="Into the Breach"/>
    <x v="0"/>
    <x v="0"/>
    <s v="Into the Breach v 00Prospects"/>
    <x v="0"/>
    <x v="0"/>
    <s v="1-2"/>
    <n v="4"/>
    <n v="1.738"/>
    <x v="1"/>
    <n v="-4"/>
    <m/>
  </r>
  <r>
    <x v="25"/>
    <x v="0"/>
    <s v="Into the Breach +8,5"/>
    <x v="2"/>
    <x v="0"/>
    <s v="Into the Breach v 00Prospects map 3"/>
    <x v="1"/>
    <x v="0"/>
    <s v="12-16"/>
    <n v="4"/>
    <n v="1.58"/>
    <x v="0"/>
    <n v="2.3200000000000003"/>
    <m/>
  </r>
  <r>
    <x v="25"/>
    <x v="0"/>
    <s v="Young Ninjas"/>
    <x v="0"/>
    <x v="0"/>
    <s v="Young Ninjas v Spirit Acad"/>
    <x v="0"/>
    <x v="0"/>
    <s v="16-10"/>
    <n v="4"/>
    <n v="1.69"/>
    <x v="0"/>
    <n v="2.76"/>
    <m/>
  </r>
  <r>
    <x v="25"/>
    <x v="0"/>
    <s v="00Prospects +1,5"/>
    <x v="1"/>
    <x v="0"/>
    <s v="Eyeballers v 00Prospects"/>
    <x v="0"/>
    <x v="0"/>
    <s v="2-0"/>
    <n v="4"/>
    <n v="1.47"/>
    <x v="1"/>
    <n v="-4"/>
    <m/>
  </r>
  <r>
    <x v="25"/>
    <x v="0"/>
    <s v="Fnatic Rising"/>
    <x v="0"/>
    <x v="0"/>
    <s v="Aurora v Fnatic Rising"/>
    <x v="0"/>
    <x v="0"/>
    <s v="0-2"/>
    <n v="4"/>
    <n v="1.736"/>
    <x v="0"/>
    <n v="2.944"/>
    <m/>
  </r>
  <r>
    <x v="25"/>
    <x v="0"/>
    <s v="Pain"/>
    <x v="0"/>
    <x v="0"/>
    <s v="Pain v Masonic"/>
    <x v="1"/>
    <x v="0"/>
    <s v="2-1"/>
    <n v="4"/>
    <n v="1.38"/>
    <x v="0"/>
    <n v="1.5199999999999996"/>
    <m/>
  </r>
  <r>
    <x v="25"/>
    <x v="0"/>
    <s v="Pain"/>
    <x v="0"/>
    <x v="0"/>
    <s v="Pain v Masonic map 1"/>
    <x v="1"/>
    <x v="0"/>
    <s v="16-9"/>
    <n v="4"/>
    <n v="1.56"/>
    <x v="0"/>
    <n v="2.2400000000000002"/>
    <m/>
  </r>
  <r>
    <x v="25"/>
    <x v="0"/>
    <s v="Bluejays"/>
    <x v="0"/>
    <x v="0"/>
    <s v="Titans v Bluejays"/>
    <x v="0"/>
    <x v="0"/>
    <s v="1-2"/>
    <n v="4"/>
    <n v="1.7"/>
    <x v="0"/>
    <n v="2.8"/>
    <m/>
  </r>
  <r>
    <x v="25"/>
    <x v="0"/>
    <s v="Fluxo"/>
    <x v="0"/>
    <x v="0"/>
    <s v="Team One v Fluxo"/>
    <x v="0"/>
    <x v="0"/>
    <s v="1-2"/>
    <n v="4"/>
    <n v="1.524"/>
    <x v="0"/>
    <n v="2.0960000000000001"/>
    <m/>
  </r>
  <r>
    <x v="25"/>
    <x v="0"/>
    <s v="Sprout"/>
    <x v="0"/>
    <x v="0"/>
    <s v="Entropiq v Sprout map 1"/>
    <x v="1"/>
    <x v="0"/>
    <s v="12-16"/>
    <n v="4"/>
    <n v="1.58"/>
    <x v="0"/>
    <n v="2.3200000000000003"/>
    <m/>
  </r>
  <r>
    <x v="25"/>
    <x v="0"/>
    <s v="Pain"/>
    <x v="0"/>
    <x v="0"/>
    <s v="Pain v Masonic"/>
    <x v="1"/>
    <x v="0"/>
    <s v="2-1"/>
    <n v="4"/>
    <n v="1.5"/>
    <x v="0"/>
    <n v="2"/>
    <m/>
  </r>
  <r>
    <x v="25"/>
    <x v="0"/>
    <s v="Ago"/>
    <x v="0"/>
    <x v="0"/>
    <s v="Ago v Ungetium"/>
    <x v="1"/>
    <x v="0"/>
    <s v="2-1"/>
    <n v="4"/>
    <n v="2.12"/>
    <x v="0"/>
    <n v="4.4800000000000004"/>
    <m/>
  </r>
  <r>
    <x v="25"/>
    <x v="1"/>
    <s v="G2"/>
    <x v="0"/>
    <x v="0"/>
    <s v="G2 v Evil Geniuses"/>
    <x v="0"/>
    <x v="0"/>
    <s v="2-15"/>
    <n v="8"/>
    <n v="1.38"/>
    <x v="1"/>
    <n v="-8"/>
    <m/>
  </r>
  <r>
    <x v="26"/>
    <x v="0"/>
    <s v="Tricked"/>
    <x v="0"/>
    <x v="0"/>
    <s v="Tricked v Astralis Talent"/>
    <x v="0"/>
    <x v="0"/>
    <s v="1-2"/>
    <n v="4"/>
    <n v="1.3"/>
    <x v="1"/>
    <n v="-4"/>
    <m/>
  </r>
  <r>
    <x v="26"/>
    <x v="0"/>
    <s v="Tricked -1,5"/>
    <x v="1"/>
    <x v="0"/>
    <s v="Tricked v Astralis Talent"/>
    <x v="0"/>
    <x v="0"/>
    <s v="1-2"/>
    <n v="2"/>
    <n v="1.96"/>
    <x v="1"/>
    <n v="-2"/>
    <m/>
  </r>
  <r>
    <x v="26"/>
    <x v="0"/>
    <s v="Fnatic"/>
    <x v="0"/>
    <x v="0"/>
    <s v="Aurora v Fnatic Rising"/>
    <x v="0"/>
    <x v="0"/>
    <s v="0-2"/>
    <n v="4"/>
    <n v="1.53"/>
    <x v="0"/>
    <n v="2.12"/>
    <m/>
  </r>
  <r>
    <x v="26"/>
    <x v="0"/>
    <s v="Eternal Fire"/>
    <x v="0"/>
    <x v="0"/>
    <s v="Movistar Riders v Eternal Fire map 1"/>
    <x v="1"/>
    <x v="0"/>
    <s v="10-16"/>
    <n v="4"/>
    <n v="1.52"/>
    <x v="0"/>
    <n v="2.08"/>
    <m/>
  </r>
  <r>
    <x v="26"/>
    <x v="0"/>
    <s v="9ine"/>
    <x v="0"/>
    <x v="0"/>
    <s v="9ine v Titans map 1"/>
    <x v="1"/>
    <x v="0"/>
    <s v="16-10"/>
    <n v="4"/>
    <n v="1.69"/>
    <x v="0"/>
    <n v="2.76"/>
    <m/>
  </r>
  <r>
    <x v="26"/>
    <x v="0"/>
    <s v="Esuba"/>
    <x v="0"/>
    <x v="0"/>
    <s v="Esuba v Entropiq map 2"/>
    <x v="1"/>
    <x v="0"/>
    <s v="16-13"/>
    <n v="4"/>
    <n v="1.48"/>
    <x v="0"/>
    <n v="1.92"/>
    <m/>
  </r>
  <r>
    <x v="26"/>
    <x v="0"/>
    <s v="Titans"/>
    <x v="0"/>
    <x v="0"/>
    <s v="9ine v Titans map 2"/>
    <x v="1"/>
    <x v="0"/>
    <s v="16-19"/>
    <n v="4"/>
    <n v="1.7"/>
    <x v="0"/>
    <n v="2.8"/>
    <m/>
  </r>
  <r>
    <x v="26"/>
    <x v="0"/>
    <s v="Ex-Skade"/>
    <x v="0"/>
    <x v="0"/>
    <s v="Copenhagen Flames v Ex-Skade map 1"/>
    <x v="1"/>
    <x v="0"/>
    <s v="13-16"/>
    <n v="4"/>
    <n v="2.7"/>
    <x v="0"/>
    <n v="6.8000000000000007"/>
    <m/>
  </r>
  <r>
    <x v="26"/>
    <x v="0"/>
    <s v="Movistar Riders"/>
    <x v="0"/>
    <x v="0"/>
    <s v="Movistar Riders v Eternal Fire map 2"/>
    <x v="1"/>
    <x v="0"/>
    <s v="12-16"/>
    <n v="4"/>
    <n v="1.7"/>
    <x v="1"/>
    <n v="-4"/>
    <m/>
  </r>
  <r>
    <x v="26"/>
    <x v="0"/>
    <s v="Fnatic Rising"/>
    <x v="0"/>
    <x v="0"/>
    <s v="Aurora v Fnatic Rising map 1"/>
    <x v="1"/>
    <x v="0"/>
    <s v="3-16"/>
    <n v="4"/>
    <n v="1.6080000000000001"/>
    <x v="0"/>
    <n v="2.4320000000000004"/>
    <m/>
  </r>
  <r>
    <x v="26"/>
    <x v="0"/>
    <s v="Titans"/>
    <x v="0"/>
    <x v="0"/>
    <s v="9ine v Titans"/>
    <x v="1"/>
    <x v="0"/>
    <s v="2-1"/>
    <n v="4"/>
    <n v="1.81"/>
    <x v="1"/>
    <n v="-4"/>
    <m/>
  </r>
  <r>
    <x v="26"/>
    <x v="0"/>
    <s v="Ex-Skade"/>
    <x v="0"/>
    <x v="0"/>
    <s v="Copenhagen Flames v Ex-Skade map 2"/>
    <x v="1"/>
    <x v="0"/>
    <s v="14-16"/>
    <n v="4"/>
    <n v="1.49"/>
    <x v="0"/>
    <n v="1.96"/>
    <m/>
  </r>
  <r>
    <x v="26"/>
    <x v="0"/>
    <s v="Fnatic Rising"/>
    <x v="0"/>
    <x v="0"/>
    <s v="Aurora v Fnatic Rising map 2"/>
    <x v="1"/>
    <x v="0"/>
    <s v="7-16"/>
    <n v="4"/>
    <n v="1.65"/>
    <x v="0"/>
    <n v="2.5999999999999996"/>
    <m/>
  </r>
  <r>
    <x v="26"/>
    <x v="0"/>
    <s v="K23"/>
    <x v="0"/>
    <x v="0"/>
    <s v="K23 v Sprout map 1"/>
    <x v="1"/>
    <x v="0"/>
    <s v="16-10"/>
    <n v="4"/>
    <n v="1.86"/>
    <x v="0"/>
    <n v="3.4400000000000004"/>
    <m/>
  </r>
  <r>
    <x v="26"/>
    <x v="0"/>
    <s v="GTZ"/>
    <x v="1"/>
    <x v="0"/>
    <s v="GTZ v Case"/>
    <x v="0"/>
    <x v="0"/>
    <s v="1-x"/>
    <n v="4"/>
    <n v="1.52"/>
    <x v="0"/>
    <n v="2.08"/>
    <m/>
  </r>
  <r>
    <x v="26"/>
    <x v="0"/>
    <s v="MIBR"/>
    <x v="0"/>
    <x v="0"/>
    <s v="MIBR v 9z map 2"/>
    <x v="1"/>
    <x v="0"/>
    <s v="19-16"/>
    <n v="4"/>
    <n v="1.59"/>
    <x v="0"/>
    <n v="2.3600000000000003"/>
    <m/>
  </r>
  <r>
    <x v="26"/>
    <x v="0"/>
    <s v="Copenhagen Flames"/>
    <x v="0"/>
    <x v="0"/>
    <s v="Sangal v Copenhagen Flames map 2"/>
    <x v="1"/>
    <x v="0"/>
    <s v="19-21"/>
    <n v="4"/>
    <n v="1.41"/>
    <x v="0"/>
    <n v="1.6399999999999997"/>
    <m/>
  </r>
  <r>
    <x v="26"/>
    <x v="0"/>
    <s v="MIBR"/>
    <x v="0"/>
    <x v="0"/>
    <s v="MIBR v 9z"/>
    <x v="1"/>
    <x v="0"/>
    <s v="1-2"/>
    <n v="4"/>
    <n v="1.92"/>
    <x v="1"/>
    <n v="-4"/>
    <m/>
  </r>
  <r>
    <x v="26"/>
    <x v="0"/>
    <s v="Tricked"/>
    <x v="0"/>
    <x v="0"/>
    <s v="Astralis Talent v Tricked"/>
    <x v="0"/>
    <x v="0"/>
    <s v="2-1"/>
    <n v="4"/>
    <n v="1.544"/>
    <x v="1"/>
    <n v="-4"/>
    <m/>
  </r>
  <r>
    <x v="27"/>
    <x v="0"/>
    <s v="Mouz"/>
    <x v="0"/>
    <x v="0"/>
    <s v="Mouz v Outsiders"/>
    <x v="0"/>
    <x v="0"/>
    <s v="1-2"/>
    <n v="4"/>
    <n v="1.66"/>
    <x v="1"/>
    <n v="-4"/>
    <m/>
  </r>
  <r>
    <x v="27"/>
    <x v="0"/>
    <s v="NIP -1,5"/>
    <x v="1"/>
    <x v="0"/>
    <s v="Eyeballers v NiP"/>
    <x v="0"/>
    <x v="0"/>
    <s v="0-2"/>
    <n v="4"/>
    <n v="1.4119999999999999"/>
    <x v="0"/>
    <n v="1.6479999999999997"/>
    <m/>
  </r>
  <r>
    <x v="27"/>
    <x v="0"/>
    <s v="Fnatic Rising"/>
    <x v="0"/>
    <x v="0"/>
    <s v="Fnatic Rising v 00Prospects"/>
    <x v="0"/>
    <x v="0"/>
    <s v="2-1"/>
    <n v="4"/>
    <n v="1.4750000000000001"/>
    <x v="0"/>
    <n v="1.9000000000000004"/>
    <m/>
  </r>
  <r>
    <x v="27"/>
    <x v="0"/>
    <s v="Mouz"/>
    <x v="0"/>
    <x v="0"/>
    <s v="Mouz v Outsiders map 2"/>
    <x v="1"/>
    <x v="0"/>
    <s v="9-16"/>
    <n v="4"/>
    <n v="3.31"/>
    <x v="1"/>
    <n v="-4"/>
    <m/>
  </r>
  <r>
    <x v="27"/>
    <x v="0"/>
    <s v="IKLA"/>
    <x v="0"/>
    <x v="0"/>
    <s v="Bluejays v IKLA"/>
    <x v="1"/>
    <x v="0"/>
    <s v="16-10"/>
    <n v="4"/>
    <n v="2.27"/>
    <x v="1"/>
    <n v="-4"/>
    <m/>
  </r>
  <r>
    <x v="27"/>
    <x v="0"/>
    <s v="needDoctor"/>
    <x v="0"/>
    <x v="0"/>
    <s v="Needdoctor v X"/>
    <x v="0"/>
    <x v="0"/>
    <s v="2-0"/>
    <n v="4"/>
    <n v="1.47"/>
    <x v="0"/>
    <n v="1.88"/>
    <m/>
  </r>
  <r>
    <x v="27"/>
    <x v="0"/>
    <s v="Ence"/>
    <x v="0"/>
    <x v="0"/>
    <s v="Ence v Eternal Fire map 1"/>
    <x v="1"/>
    <x v="0"/>
    <s v="11-16"/>
    <n v="4"/>
    <n v="1.87"/>
    <x v="1"/>
    <n v="-4"/>
    <m/>
  </r>
  <r>
    <x v="27"/>
    <x v="0"/>
    <s v="Esuba +2,5"/>
    <x v="1"/>
    <x v="0"/>
    <s v="Eclot v Esuba"/>
    <x v="0"/>
    <x v="0"/>
    <s v="3-1"/>
    <n v="4"/>
    <n v="1.7"/>
    <x v="0"/>
    <n v="2.8"/>
    <m/>
  </r>
  <r>
    <x v="27"/>
    <x v="0"/>
    <s v="Fnatic Rising"/>
    <x v="0"/>
    <x v="0"/>
    <s v="Fnatic Rising v 00Prospects map 1"/>
    <x v="1"/>
    <x v="0"/>
    <s v="2-16"/>
    <n v="4"/>
    <n v="2.78"/>
    <x v="1"/>
    <n v="-4"/>
    <m/>
  </r>
  <r>
    <x v="27"/>
    <x v="0"/>
    <s v="Pain"/>
    <x v="0"/>
    <x v="0"/>
    <s v="Pain v Imperial map 1"/>
    <x v="1"/>
    <x v="0"/>
    <s v="16-13"/>
    <n v="4"/>
    <n v="2.2799999999999998"/>
    <x v="0"/>
    <n v="5.1199999999999992"/>
    <m/>
  </r>
  <r>
    <x v="27"/>
    <x v="0"/>
    <s v="Esuba"/>
    <x v="0"/>
    <x v="0"/>
    <s v="Eclot v Esuba map 3"/>
    <x v="1"/>
    <x v="0"/>
    <s v="11-16"/>
    <n v="4"/>
    <n v="1.96"/>
    <x v="0"/>
    <n v="3.84"/>
    <m/>
  </r>
  <r>
    <x v="27"/>
    <x v="0"/>
    <s v="Ence"/>
    <x v="0"/>
    <x v="0"/>
    <s v="Ence v Eternal Fire map 2"/>
    <x v="1"/>
    <x v="0"/>
    <s v="16-14"/>
    <n v="4"/>
    <n v="1.8"/>
    <x v="0"/>
    <n v="3.2"/>
    <m/>
  </r>
  <r>
    <x v="27"/>
    <x v="0"/>
    <s v="Ence"/>
    <x v="0"/>
    <x v="0"/>
    <s v="Ence v Eternal Fire"/>
    <x v="1"/>
    <x v="0"/>
    <s v="2-1"/>
    <n v="4"/>
    <n v="1.58"/>
    <x v="0"/>
    <n v="2.3200000000000003"/>
    <m/>
  </r>
  <r>
    <x v="27"/>
    <x v="0"/>
    <s v="NIP -1,5"/>
    <x v="1"/>
    <x v="0"/>
    <s v="Eyeballers v NiP"/>
    <x v="0"/>
    <x v="0"/>
    <s v="0-2"/>
    <n v="4"/>
    <n v="1.4550000000000001"/>
    <x v="0"/>
    <n v="1.8200000000000003"/>
    <m/>
  </r>
  <r>
    <x v="27"/>
    <x v="0"/>
    <s v="Outsiders"/>
    <x v="0"/>
    <x v="0"/>
    <s v="Outsiders v Ence"/>
    <x v="0"/>
    <x v="0"/>
    <s v="2-0"/>
    <n v="4"/>
    <n v="1.97"/>
    <x v="0"/>
    <n v="3.88"/>
    <m/>
  </r>
  <r>
    <x v="27"/>
    <x v="0"/>
    <s v="9z"/>
    <x v="0"/>
    <x v="0"/>
    <s v="Spirit v 9z"/>
    <x v="1"/>
    <x v="0"/>
    <s v="16-12"/>
    <n v="4"/>
    <n v="1.81"/>
    <x v="1"/>
    <n v="-4"/>
    <m/>
  </r>
  <r>
    <x v="27"/>
    <x v="6"/>
    <s v="Manchester City"/>
    <x v="0"/>
    <x v="0"/>
    <s v="Liverpool v Manchester City"/>
    <x v="0"/>
    <x v="0"/>
    <s v="1-0"/>
    <n v="4"/>
    <n v="2.12"/>
    <x v="1"/>
    <n v="-4"/>
    <m/>
  </r>
  <r>
    <x v="27"/>
    <x v="0"/>
    <s v="Mouz Nxt"/>
    <x v="0"/>
    <x v="0"/>
    <s v="Mouz Nxt"/>
    <x v="1"/>
    <x v="0"/>
    <s v="16-13"/>
    <n v="4"/>
    <n v="2.39"/>
    <x v="0"/>
    <n v="5.5600000000000005"/>
    <m/>
  </r>
  <r>
    <x v="27"/>
    <x v="0"/>
    <s v="00Prospects"/>
    <x v="0"/>
    <x v="0"/>
    <s v="Astralis Talent v 00Prospects"/>
    <x v="1"/>
    <x v="0"/>
    <s v="19-17"/>
    <n v="4"/>
    <n v="1.86"/>
    <x v="1"/>
    <n v="-4"/>
    <m/>
  </r>
  <r>
    <x v="27"/>
    <x v="0"/>
    <s v="Spirit"/>
    <x v="0"/>
    <x v="0"/>
    <s v="Pain v Spirit"/>
    <x v="1"/>
    <x v="0"/>
    <s v="16-12"/>
    <n v="4"/>
    <n v="1.32"/>
    <x v="1"/>
    <n v="-4"/>
    <m/>
  </r>
  <r>
    <x v="27"/>
    <x v="0"/>
    <s v="Pain +5,5"/>
    <x v="2"/>
    <x v="0"/>
    <s v="Pain v Spirit map 2"/>
    <x v="1"/>
    <x v="0"/>
    <s v="8-16"/>
    <n v="4"/>
    <n v="1.45"/>
    <x v="1"/>
    <n v="-4"/>
    <m/>
  </r>
  <r>
    <x v="27"/>
    <x v="0"/>
    <s v="needDoctor"/>
    <x v="0"/>
    <x v="0"/>
    <s v="Needdoctor v OneTap"/>
    <x v="1"/>
    <x v="0"/>
    <s v="1-2"/>
    <n v="4"/>
    <n v="2.58"/>
    <x v="1"/>
    <n v="-4"/>
    <m/>
  </r>
  <r>
    <x v="27"/>
    <x v="0"/>
    <s v="Vendetta +1,5"/>
    <x v="1"/>
    <x v="0"/>
    <s v="Billionaires v Vendetta"/>
    <x v="0"/>
    <x v="0"/>
    <s v="1-2"/>
    <n v="4"/>
    <n v="1.53"/>
    <x v="0"/>
    <n v="2.12"/>
    <m/>
  </r>
  <r>
    <x v="28"/>
    <x v="0"/>
    <s v="Ex-Skade +1,5"/>
    <x v="1"/>
    <x v="0"/>
    <s v="Sangal v Ex-Skade"/>
    <x v="0"/>
    <x v="0"/>
    <m/>
    <n v="4"/>
    <n v="1.45"/>
    <x v="4"/>
    <n v="0"/>
    <m/>
  </r>
  <r>
    <x v="28"/>
    <x v="0"/>
    <s v="Bluejays +1,5"/>
    <x v="1"/>
    <x v="0"/>
    <s v="Bluejays v Into the Breach"/>
    <x v="1"/>
    <x v="0"/>
    <m/>
    <n v="4"/>
    <n v="1.39"/>
    <x v="4"/>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6"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dataField="1" showAll="0"/>
    <pivotField axis="axisRow" showAll="0">
      <items count="6">
        <item h="1" x="2"/>
        <item x="1"/>
        <item h="1" x="4"/>
        <item h="1" x="3"/>
        <item x="0"/>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v="1"/>
    </i>
    <i>
      <x v="4"/>
    </i>
    <i t="grand">
      <x/>
    </i>
  </rowItems>
  <colItems count="1">
    <i/>
  </colItems>
  <dataFields count="1">
    <dataField name="Average of Odds" fld="10" subtotal="average" baseField="10" baseItem="0" numFmtId="2"/>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40">
      <pivotArea outline="0" collapsedLevelsAreSubtotals="1" fieldPosition="0"/>
    </format>
    <format dxfId="39">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13"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showAll="0">
      <items count="8">
        <item x="0"/>
        <item x="1"/>
        <item x="2"/>
        <item x="4"/>
        <item x="5"/>
        <item x="3"/>
        <item x="6"/>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6"/>
    </i>
    <i t="grand">
      <x/>
    </i>
  </rowItems>
  <colItems count="1">
    <i/>
  </colItems>
  <dataFields count="1">
    <dataField name="Sum of Profit" fld="12" baseField="0" baseItem="0" numFmtId="164"/>
  </dataFields>
  <formats count="1">
    <format dxfId="4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13"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axis="axisRow" showAll="0" sortType="descending">
      <items count="7">
        <item x="0"/>
        <item x="5"/>
        <item x="4"/>
        <item x="2"/>
        <item x="1"/>
        <item x="3"/>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63">
      <pivotArea outline="0" collapsedLevelsAreSubtotals="1" fieldPosition="0"/>
    </format>
    <format dxfId="62">
      <pivotArea type="all" dataOnly="0" outline="0" fieldPosition="0"/>
    </format>
    <format dxfId="61">
      <pivotArea outline="0" collapsedLevelsAreSubtotals="1" fieldPosition="0"/>
    </format>
    <format dxfId="60">
      <pivotArea field="3" type="button" dataOnly="0" labelOnly="1" outline="0" axis="axisRow" fieldPosition="0"/>
    </format>
    <format dxfId="59">
      <pivotArea dataOnly="0" labelOnly="1" fieldPosition="0">
        <references count="1">
          <reference field="3" count="0"/>
        </references>
      </pivotArea>
    </format>
    <format dxfId="58">
      <pivotArea dataOnly="0" labelOnly="1" grandRow="1" outline="0" fieldPosition="0"/>
    </format>
    <format dxfId="57">
      <pivotArea dataOnly="0" labelOnly="1" outline="0" axis="axisValues" fieldPosition="0"/>
    </format>
    <format dxfId="56">
      <pivotArea collapsedLevelsAreSubtotals="1" fieldPosition="0">
        <references count="1">
          <reference field="3" count="0"/>
        </references>
      </pivotArea>
    </format>
    <format dxfId="55">
      <pivotArea dataOnly="0" labelOnly="1" fieldPosition="0">
        <references count="1">
          <reference field="3" count="0"/>
        </references>
      </pivotArea>
    </format>
    <format dxfId="54">
      <pivotArea grandRow="1" outline="0" collapsedLevelsAreSubtotals="1" fieldPosition="0"/>
    </format>
    <format dxfId="53">
      <pivotArea dataOnly="0" labelOnly="1" grandRow="1" outline="0" fieldPosition="0"/>
    </format>
    <format dxfId="52">
      <pivotArea type="all" dataOnly="0" outline="0" fieldPosition="0"/>
    </format>
    <format dxfId="51">
      <pivotArea dataOnly="0" labelOnly="1" fieldPosition="0">
        <references count="1">
          <reference field="3" count="0"/>
        </references>
      </pivotArea>
    </format>
    <format dxfId="50">
      <pivotArea dataOnly="0" labelOnly="1" grandRow="1" outline="0" fieldPosition="0"/>
    </format>
    <format dxfId="49">
      <pivotArea field="3" type="button" dataOnly="0" labelOnly="1" outline="0" axis="axisRow" fieldPosition="0"/>
    </format>
    <format dxfId="48">
      <pivotArea dataOnly="0" labelOnly="1" outline="0" axis="axisValues" fieldPosition="0"/>
    </format>
    <format dxfId="47">
      <pivotArea collapsedLevelsAreSubtotals="1" fieldPosition="0">
        <references count="1">
          <reference field="3" count="0"/>
        </references>
      </pivotArea>
    </format>
    <format dxfId="46">
      <pivotArea dataOnly="0" labelOnly="1" fieldPosition="0">
        <references count="1">
          <reference field="3" count="0"/>
        </references>
      </pivotArea>
    </format>
    <format dxfId="45">
      <pivotArea grandRow="1" outline="0" collapsedLevelsAreSubtotals="1" fieldPosition="0"/>
    </format>
    <format dxfId="44">
      <pivotArea dataOnly="0" labelOnly="1" grandRow="1" outline="0" fieldPosition="0"/>
    </format>
    <format dxfId="43">
      <pivotArea outline="0" collapsedLevelsAreSubtotals="1" fieldPosition="0"/>
    </format>
    <format dxfId="42">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3" firstHeaderRow="1" firstDataRow="1" firstDataCol="1"/>
  <pivotFields count="16">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extLst>
        <ext xmlns:x14="http://schemas.microsoft.com/office/spreadsheetml/2009/9/main" uri="{2946ED86-A175-432a-8AC1-64E0C546D7DE}">
          <x14:pivotField fillDownLabels="1"/>
        </ext>
      </extLst>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Profit Of Day" fld="12" baseField="0" baseItem="0"/>
  </dataFields>
  <formats count="3">
    <format dxfId="66">
      <pivotArea outline="0" collapsedLevelsAreSubtotals="1" fieldPosition="0"/>
    </format>
    <format dxfId="65">
      <pivotArea field="0" type="button" dataOnly="0" labelOnly="1" outline="0" axis="axisRow" fieldPosition="0"/>
    </format>
    <format dxfId="6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4"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19"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axis="axisRow" showAll="0" sortType="descending">
      <items count="3">
        <item x="0"/>
        <item x="1"/>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Profit" fld="12" baseField="0" baseItem="0" numFmtId="164"/>
  </dataFields>
  <formats count="1">
    <format dxfId="68">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0"/>
          </reference>
        </references>
      </pivotArea>
    </chartFormat>
    <chartFormat chart="8"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69">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7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1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2" firstHeaderRow="1" firstDataRow="1" firstDataCol="1"/>
  <pivotFields count="16">
    <pivotField axis="axisRow" numFmtId="14" showAll="0" sortType="descending">
      <items count="30">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dataFields count="1">
    <dataField name="Sum of Profit" fld="12" baseField="0" baseItem="0" numFmtId="164"/>
  </dataFields>
  <formats count="1">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6" firstHeaderRow="0"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axis="axisRow" dataField="1" showAll="0">
      <items count="5">
        <item m="1" x="1"/>
        <item m="1" x="2"/>
        <item m="1" x="3"/>
        <item x="0"/>
        <item t="default"/>
      </items>
    </pivotField>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2">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7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3" firstHeaderRow="1" firstDataRow="1" firstDataCol="1"/>
  <pivotFields count="16">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dataField="1" showAll="0"/>
    <pivotField showAll="0"/>
    <pivotField showAll="0"/>
    <pivotField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7">
        <i x="0" s="1"/>
        <i x="1" s="1"/>
        <i x="2" s="1"/>
        <i x="4"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N241" headerRowDxfId="9" dataDxfId="103">
  <autoFilter ref="A1:N241" xr:uid="{CDD46F94-D56B-4C6B-B14A-A9F957309B6F}"/>
  <tableColumns count="14">
    <tableColumn id="1" xr3:uid="{D560C312-3502-42C5-91D2-1A388E82C9A7}" name="Date" totalsRowLabel="Total" dataDxfId="102" totalsRowDxfId="101"/>
    <tableColumn id="3" xr3:uid="{24F8D3D7-6F63-4882-986A-B62254B71459}" name="Sport" dataDxfId="100" totalsRowDxfId="99"/>
    <tableColumn id="15" xr3:uid="{46858432-F192-46EB-9114-E477474886A7}" name="Selection" dataDxfId="98" totalsRowDxfId="97"/>
    <tableColumn id="5" xr3:uid="{462C87B8-970F-4581-92A3-F732E064CD1E}" name="Bet Type" dataDxfId="96" totalsRowDxfId="95"/>
    <tableColumn id="6" xr3:uid="{F96257B8-7FB3-41FC-B697-2DC0955BBD36}" name="Tipster" dataDxfId="94" totalsRowDxfId="93"/>
    <tableColumn id="8" xr3:uid="{35D16D1C-17B5-4474-9AC6-618349E38A8D}" name="Fixture / Event" dataDxfId="92" totalsRowDxfId="91"/>
    <tableColumn id="9" xr3:uid="{763D1252-8AC4-40FA-8DB0-C02953CFE690}" name="Live" dataDxfId="90" totalsRowDxfId="89"/>
    <tableColumn id="2" xr3:uid="{E12557DE-26E6-455D-B80A-2D16673CD3BB}" name="BB" dataDxfId="88" totalsRowDxfId="87"/>
    <tableColumn id="10" xr3:uid="{A804ADA3-05B1-403D-A25D-F54FCD812DE0}" name="Score" dataDxfId="86" totalsRowDxfId="85"/>
    <tableColumn id="11" xr3:uid="{92BE8352-E21D-466D-B272-40C3BCA9142C}" name="Stake" totalsRowFunction="sum" dataDxfId="84" totalsRowDxfId="83"/>
    <tableColumn id="12" xr3:uid="{77EB907C-90B6-4FB6-8CC7-4A3D7B58E68E}" name="Odds" totalsRowFunction="average" dataDxfId="82" totalsRowDxfId="81"/>
    <tableColumn id="14" xr3:uid="{65FE53A6-BA60-44D6-8BDD-8EE8BF4631D0}" name="Win" dataDxfId="80" totalsRowDxfId="79"/>
    <tableColumn id="4" xr3:uid="{05A00DA9-DB7D-4870-A95B-C9ECFCCD8380}" name="Profit" totalsRowFunction="sum" dataDxfId="7" totalsRowDxfId="78">
      <calculatedColumnFormula>_xlfn.IFS(TableBets[[#This Row],[Win]]="Won",TableBets[[#This Row],[Stake]]*(TableBets[[#This Row],[Odds]]-1),AND(TableBets[[#This Row],[Win]]="Lost",TableBets[[#This Row],[BB]]&lt;&gt;"Y"),-TableBets[[#This Row],[Stake]],TableBets[[#This Row],[Win]]="Sold",-TableBets[[#This Row],[Stake]]+TableBets[[#This Row],[Sold for]],TRUE,0)</calculatedColumnFormula>
    </tableColumn>
    <tableColumn id="7" xr3:uid="{BC15A6CA-730E-4D94-BEA2-3837E3C953FA}" name="Sold for" dataDxfId="8" dataCellStyle="Normal"/>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38" totalsRowShown="0">
  <autoFilter ref="R1:S238" xr:uid="{5371EC1F-4EB7-471A-B9CA-921CA5758E05}"/>
  <tableColumns count="2">
    <tableColumn id="1" xr3:uid="{55E41601-EEC7-41EB-89A8-AAB564F35FF0}" name="Date" dataDxfId="77">
      <calculatedColumnFormula>TableBets[[#This Row],[Date]]</calculatedColumnFormula>
    </tableColumn>
    <tableColumn id="2" xr3:uid="{7DC9F4A8-9566-4517-AF98-5A7B2B70ABE1}" name="Total Profit" dataDxfId="76">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75">
  <autoFilter ref="A1:C3" xr:uid="{D6429C85-EFB5-4345-8C33-894DE3E19352}"/>
  <tableColumns count="3">
    <tableColumn id="1" xr3:uid="{89B6B4C1-05D0-470B-AA77-2C90A04DBB29}" name="Date" dataDxfId="74"/>
    <tableColumn id="2" xr3:uid="{79C417C7-B61E-49EA-99F5-8F6429B973B4}" name="Movement"/>
    <tableColumn id="3" xr3:uid="{8FC63B3E-02CB-4522-B451-CAE970484AC9}" name="Value" dataDxfId="73"/>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37" dataDxfId="35" headerRowBorderDxfId="36" tableBorderDxfId="34" totalsRowBorderDxfId="33">
  <autoFilter ref="A1:A8" xr:uid="{991A5576-3406-4E0D-A3C8-A33DE24053BA}"/>
  <tableColumns count="1">
    <tableColumn id="1" xr3:uid="{E9F193C1-C976-46C2-A933-4D5695C76115}" name="Sport Name"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31" dataDxfId="29" headerRowBorderDxfId="30" tableBorderDxfId="28" totalsRowBorderDxfId="27">
  <autoFilter ref="C1:C7" xr:uid="{0A1E0DFB-062F-4594-AAFE-125515C14665}"/>
  <tableColumns count="1">
    <tableColumn id="1" xr3:uid="{15DEB0CF-3AA9-4250-B287-5254362D08BF}" name="Bet Type" dataDxfId="2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4" totalsRowShown="0" headerRowDxfId="25" dataDxfId="23" headerRowBorderDxfId="24" tableBorderDxfId="22" totalsRowBorderDxfId="21">
  <autoFilter ref="E1:E4" xr:uid="{6E94460B-2D80-4058-A3CF-8DD4F2C86B01}"/>
  <tableColumns count="1">
    <tableColumn id="1" xr3:uid="{B44C0E80-7409-442A-B686-CA4D97D6E307}" name="Tipster" dataDxfId="2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19" dataDxfId="17" headerRowBorderDxfId="18" tableBorderDxfId="16" totalsRowBorderDxfId="15">
  <autoFilter ref="G1:G7" xr:uid="{C243FA82-E74B-4583-83C2-2D797D177FAC}"/>
  <tableColumns count="1">
    <tableColumn id="1" xr3:uid="{FBD33C46-E53B-4E1B-872D-8B933B8C0C1C}" name="Bet Outcome" dataDxfId="1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13" headerRowBorderDxfId="12">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11" headerRowBorderDxfId="10">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6.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0.emf"/><Relationship Id="rId5" Type="http://schemas.openxmlformats.org/officeDocument/2006/relationships/control" Target="../activeX/activeX5.xml"/><Relationship Id="rId4"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11.xml"/><Relationship Id="rId18" Type="http://schemas.openxmlformats.org/officeDocument/2006/relationships/image" Target="../media/image28.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5.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2.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4.emf"/><Relationship Id="rId19" Type="http://schemas.openxmlformats.org/officeDocument/2006/relationships/table" Target="../tables/table4.xml"/><Relationship Id="rId4" Type="http://schemas.openxmlformats.org/officeDocument/2006/relationships/image" Target="../media/image21.emf"/><Relationship Id="rId9" Type="http://schemas.openxmlformats.org/officeDocument/2006/relationships/control" Target="../activeX/activeX9.xml"/><Relationship Id="rId14" Type="http://schemas.openxmlformats.org/officeDocument/2006/relationships/image" Target="../media/image26.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tabSelected="1"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41"/>
  <sheetViews>
    <sheetView showGridLines="0" zoomScaleNormal="100" workbookViewId="0">
      <pane ySplit="1" topLeftCell="A221" activePane="bottomLeft" state="frozen"/>
      <selection pane="bottomLeft" activeCell="M244" sqref="M244"/>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8.5546875" bestFit="1" customWidth="1"/>
    <col min="15" max="15" width="14.44140625" bestFit="1" customWidth="1"/>
    <col min="16" max="16" width="9.109375" bestFit="1" customWidth="1"/>
    <col min="17" max="17" width="10.109375" bestFit="1" customWidth="1"/>
    <col min="18" max="18" width="10.77734375" bestFit="1" customWidth="1"/>
    <col min="19" max="19" width="12.109375" bestFit="1" customWidth="1"/>
  </cols>
  <sheetData>
    <row r="1" spans="1:19" x14ac:dyDescent="0.2">
      <c r="A1" s="55" t="s">
        <v>21</v>
      </c>
      <c r="B1" s="56" t="s">
        <v>22</v>
      </c>
      <c r="C1" s="56" t="s">
        <v>23</v>
      </c>
      <c r="D1" s="56" t="s">
        <v>1</v>
      </c>
      <c r="E1" s="56" t="s">
        <v>346</v>
      </c>
      <c r="F1" s="56" t="s">
        <v>24</v>
      </c>
      <c r="G1" s="56" t="s">
        <v>370</v>
      </c>
      <c r="H1" s="56" t="s">
        <v>434</v>
      </c>
      <c r="I1" s="56" t="s">
        <v>393</v>
      </c>
      <c r="J1" s="57" t="s">
        <v>25</v>
      </c>
      <c r="K1" s="58" t="s">
        <v>26</v>
      </c>
      <c r="L1" s="56" t="s">
        <v>27</v>
      </c>
      <c r="M1" s="60" t="s">
        <v>356</v>
      </c>
      <c r="N1" s="59" t="s">
        <v>471</v>
      </c>
      <c r="O1" s="27" t="s">
        <v>366</v>
      </c>
      <c r="P1" s="28">
        <f>Analysis!L17</f>
        <v>81.946420000000018</v>
      </c>
      <c r="R1" t="s">
        <v>21</v>
      </c>
      <c r="S1" s="29" t="s">
        <v>395</v>
      </c>
    </row>
    <row r="2" spans="1:19" x14ac:dyDescent="0.2">
      <c r="A2" s="19">
        <v>44822</v>
      </c>
      <c r="B2" s="7" t="s">
        <v>2</v>
      </c>
      <c r="C2" s="7" t="s">
        <v>28</v>
      </c>
      <c r="D2" s="7" t="s">
        <v>3</v>
      </c>
      <c r="E2" s="7" t="s">
        <v>6</v>
      </c>
      <c r="F2" s="7" t="s">
        <v>29</v>
      </c>
      <c r="G2" s="7" t="s">
        <v>30</v>
      </c>
      <c r="H2" s="7" t="s">
        <v>30</v>
      </c>
      <c r="I2" s="7" t="s">
        <v>31</v>
      </c>
      <c r="J2" s="8">
        <v>4</v>
      </c>
      <c r="K2" s="9">
        <v>1.85</v>
      </c>
      <c r="L2" s="7" t="s">
        <v>18</v>
      </c>
      <c r="M2" s="61">
        <f>_xlfn.IFS(TableBets[[#This Row],[Win]]="Won",TableBets[[#This Row],[Stake]]*(TableBets[[#This Row],[Odds]]-1),AND(TableBets[[#This Row],[Win]]="Lost",TableBets[[#This Row],[BB]]&lt;&gt;"Y"),-TableBets[[#This Row],[Stake]],TableBets[[#This Row],[Win]]="Sold",-TableBets[[#This Row],[Stake]]+TableBets[[#This Row],[Sold for]],TRUE,0)</f>
        <v>3.4000000000000004</v>
      </c>
      <c r="N2" s="1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61">
        <f>_xlfn.IFS(TableBets[[#This Row],[Win]]="Won",TableBets[[#This Row],[Stake]]*(TableBets[[#This Row],[Odds]]-1),AND(TableBets[[#This Row],[Win]]="Lost",TableBets[[#This Row],[BB]]&lt;&gt;"Y"),-TableBets[[#This Row],[Stake]],TableBets[[#This Row],[Win]]="Sold",-TableBets[[#This Row],[Stake]]+TableBets[[#This Row],[Sold for]],TRUE,0)</f>
        <v>1.968</v>
      </c>
      <c r="N3" s="1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61">
        <f>_xlfn.IFS(TableBets[[#This Row],[Win]]="Won",TableBets[[#This Row],[Stake]]*(TableBets[[#This Row],[Odds]]-1),AND(TableBets[[#This Row],[Win]]="Lost",TableBets[[#This Row],[BB]]&lt;&gt;"Y"),-TableBets[[#This Row],[Stake]],TableBets[[#This Row],[Win]]="Sold",-TableBets[[#This Row],[Stake]]+TableBets[[#This Row],[Sold for]],TRUE,0)</f>
        <v>-4</v>
      </c>
      <c r="N4" s="1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61">
        <f>_xlfn.IFS(TableBets[[#This Row],[Win]]="Won",TableBets[[#This Row],[Stake]]*(TableBets[[#This Row],[Odds]]-1),AND(TableBets[[#This Row],[Win]]="Lost",TableBets[[#This Row],[BB]]&lt;&gt;"Y"),-TableBets[[#This Row],[Stake]],TableBets[[#This Row],[Win]]="Sold",-TableBets[[#This Row],[Stake]]+TableBets[[#This Row],[Sold for]],TRUE,0)</f>
        <v>-4</v>
      </c>
      <c r="N5" s="1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61">
        <f>_xlfn.IFS(TableBets[[#This Row],[Win]]="Won",TableBets[[#This Row],[Stake]]*(TableBets[[#This Row],[Odds]]-1),AND(TableBets[[#This Row],[Win]]="Lost",TableBets[[#This Row],[BB]]&lt;&gt;"Y"),-TableBets[[#This Row],[Stake]],TableBets[[#This Row],[Win]]="Sold",-TableBets[[#This Row],[Stake]]+TableBets[[#This Row],[Sold for]],TRUE,0)</f>
        <v>2.16</v>
      </c>
      <c r="N6" s="1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61">
        <f>_xlfn.IFS(TableBets[[#This Row],[Win]]="Won",TableBets[[#This Row],[Stake]]*(TableBets[[#This Row],[Odds]]-1),AND(TableBets[[#This Row],[Win]]="Lost",TableBets[[#This Row],[BB]]&lt;&gt;"Y"),-TableBets[[#This Row],[Stake]],TableBets[[#This Row],[Win]]="Sold",-TableBets[[#This Row],[Stake]]+TableBets[[#This Row],[Sold for]],TRUE,0)</f>
        <v>2.2400000000000002</v>
      </c>
      <c r="N7" s="15"/>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61">
        <f>_xlfn.IFS(TableBets[[#This Row],[Win]]="Won",TableBets[[#This Row],[Stake]]*(TableBets[[#This Row],[Odds]]-1),AND(TableBets[[#This Row],[Win]]="Lost",TableBets[[#This Row],[BB]]&lt;&gt;"Y"),-TableBets[[#This Row],[Stake]],TableBets[[#This Row],[Win]]="Sold",-TableBets[[#This Row],[Stake]]+TableBets[[#This Row],[Sold for]],TRUE,0)</f>
        <v>-4</v>
      </c>
      <c r="N8" s="15"/>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61">
        <f>_xlfn.IFS(TableBets[[#This Row],[Win]]="Won",TableBets[[#This Row],[Stake]]*(TableBets[[#This Row],[Odds]]-1),AND(TableBets[[#This Row],[Win]]="Lost",TableBets[[#This Row],[BB]]&lt;&gt;"Y"),-TableBets[[#This Row],[Stake]],TableBets[[#This Row],[Win]]="Sold",-TableBets[[#This Row],[Stake]]+TableBets[[#This Row],[Sold for]],TRUE,0)</f>
        <v>-4</v>
      </c>
      <c r="N9" s="15"/>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61">
        <f>_xlfn.IFS(TableBets[[#This Row],[Win]]="Won",TableBets[[#This Row],[Stake]]*(TableBets[[#This Row],[Odds]]-1),AND(TableBets[[#This Row],[Win]]="Lost",TableBets[[#This Row],[BB]]&lt;&gt;"Y"),-TableBets[[#This Row],[Stake]],TableBets[[#This Row],[Win]]="Sold",-TableBets[[#This Row],[Stake]]+TableBets[[#This Row],[Sold for]],TRUE,0)</f>
        <v>2.08</v>
      </c>
      <c r="N10" s="15"/>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61">
        <f>_xlfn.IFS(TableBets[[#This Row],[Win]]="Won",TableBets[[#This Row],[Stake]]*(TableBets[[#This Row],[Odds]]-1),AND(TableBets[[#This Row],[Win]]="Lost",TableBets[[#This Row],[BB]]&lt;&gt;"Y"),-TableBets[[#This Row],[Stake]],TableBets[[#This Row],[Win]]="Sold",-TableBets[[#This Row],[Stake]]+TableBets[[#This Row],[Sold for]],TRUE,0)</f>
        <v>2.88</v>
      </c>
      <c r="N11" s="15"/>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61">
        <f>_xlfn.IFS(TableBets[[#This Row],[Win]]="Won",TableBets[[#This Row],[Stake]]*(TableBets[[#This Row],[Odds]]-1),AND(TableBets[[#This Row],[Win]]="Lost",TableBets[[#This Row],[BB]]&lt;&gt;"Y"),-TableBets[[#This Row],[Stake]],TableBets[[#This Row],[Win]]="Sold",-TableBets[[#This Row],[Stake]]+TableBets[[#This Row],[Sold for]],TRUE,0)</f>
        <v>2.6799999999999997</v>
      </c>
      <c r="N12" s="15"/>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61">
        <f>_xlfn.IFS(TableBets[[#This Row],[Win]]="Won",TableBets[[#This Row],[Stake]]*(TableBets[[#This Row],[Odds]]-1),AND(TableBets[[#This Row],[Win]]="Lost",TableBets[[#This Row],[BB]]&lt;&gt;"Y"),-TableBets[[#This Row],[Stake]],TableBets[[#This Row],[Win]]="Sold",-TableBets[[#This Row],[Stake]]+TableBets[[#This Row],[Sold for]],TRUE,0)</f>
        <v>2.2000000000000002</v>
      </c>
      <c r="N13" s="15"/>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61">
        <f>_xlfn.IFS(TableBets[[#This Row],[Win]]="Won",TableBets[[#This Row],[Stake]]*(TableBets[[#This Row],[Odds]]-1),AND(TableBets[[#This Row],[Win]]="Lost",TableBets[[#This Row],[BB]]&lt;&gt;"Y"),-TableBets[[#This Row],[Stake]],TableBets[[#This Row],[Win]]="Sold",-TableBets[[#This Row],[Stake]]+TableBets[[#This Row],[Sold for]],TRUE,0)</f>
        <v>2.42</v>
      </c>
      <c r="N14" s="15"/>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61">
        <f>_xlfn.IFS(TableBets[[#This Row],[Win]]="Won",TableBets[[#This Row],[Stake]]*(TableBets[[#This Row],[Odds]]-1),AND(TableBets[[#This Row],[Win]]="Lost",TableBets[[#This Row],[BB]]&lt;&gt;"Y"),-TableBets[[#This Row],[Stake]],TableBets[[#This Row],[Win]]="Sold",-TableBets[[#This Row],[Stake]]+TableBets[[#This Row],[Sold for]],TRUE,0)</f>
        <v>1.6799999999999997</v>
      </c>
      <c r="N15" s="15"/>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61">
        <f>_xlfn.IFS(TableBets[[#This Row],[Win]]="Won",TableBets[[#This Row],[Stake]]*(TableBets[[#This Row],[Odds]]-1),AND(TableBets[[#This Row],[Win]]="Lost",TableBets[[#This Row],[BB]]&lt;&gt;"Y"),-TableBets[[#This Row],[Stake]],TableBets[[#This Row],[Win]]="Sold",-TableBets[[#This Row],[Stake]]+TableBets[[#This Row],[Sold for]],TRUE,0)</f>
        <v>1.5679999999999996</v>
      </c>
      <c r="N16" s="15"/>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61">
        <f>_xlfn.IFS(TableBets[[#This Row],[Win]]="Won",TableBets[[#This Row],[Stake]]*(TableBets[[#This Row],[Odds]]-1),AND(TableBets[[#This Row],[Win]]="Lost",TableBets[[#This Row],[BB]]&lt;&gt;"Y"),-TableBets[[#This Row],[Stake]],TableBets[[#This Row],[Win]]="Sold",-TableBets[[#This Row],[Stake]]+TableBets[[#This Row],[Sold for]],TRUE,0)</f>
        <v>2.08</v>
      </c>
      <c r="N17" s="15"/>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61">
        <f>_xlfn.IFS(TableBets[[#This Row],[Win]]="Won",TableBets[[#This Row],[Stake]]*(TableBets[[#This Row],[Odds]]-1),AND(TableBets[[#This Row],[Win]]="Lost",TableBets[[#This Row],[BB]]&lt;&gt;"Y"),-TableBets[[#This Row],[Stake]],TableBets[[#This Row],[Win]]="Sold",-TableBets[[#This Row],[Stake]]+TableBets[[#This Row],[Sold for]],TRUE,0)</f>
        <v>-4</v>
      </c>
      <c r="N18" s="15"/>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61">
        <f>_xlfn.IFS(TableBets[[#This Row],[Win]]="Won",TableBets[[#This Row],[Stake]]*(TableBets[[#This Row],[Odds]]-1),AND(TableBets[[#This Row],[Win]]="Lost",TableBets[[#This Row],[BB]]&lt;&gt;"Y"),-TableBets[[#This Row],[Stake]],TableBets[[#This Row],[Win]]="Sold",-TableBets[[#This Row],[Stake]]+TableBets[[#This Row],[Sold for]],TRUE,0)</f>
        <v>1.6799999999999997</v>
      </c>
      <c r="N19" s="15"/>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61">
        <f>_xlfn.IFS(TableBets[[#This Row],[Win]]="Won",TableBets[[#This Row],[Stake]]*(TableBets[[#This Row],[Odds]]-1),AND(TableBets[[#This Row],[Win]]="Lost",TableBets[[#This Row],[BB]]&lt;&gt;"Y"),-TableBets[[#This Row],[Stake]],TableBets[[#This Row],[Win]]="Sold",-TableBets[[#This Row],[Stake]]+TableBets[[#This Row],[Sold for]],TRUE,0)</f>
        <v>1.7999999999999998</v>
      </c>
      <c r="N20" s="15"/>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61">
        <f>_xlfn.IFS(TableBets[[#This Row],[Win]]="Won",TableBets[[#This Row],[Stake]]*(TableBets[[#This Row],[Odds]]-1),AND(TableBets[[#This Row],[Win]]="Lost",TableBets[[#This Row],[BB]]&lt;&gt;"Y"),-TableBets[[#This Row],[Stake]],TableBets[[#This Row],[Win]]="Sold",-TableBets[[#This Row],[Stake]]+TableBets[[#This Row],[Sold for]],TRUE,0)</f>
        <v>-4</v>
      </c>
      <c r="N21" s="15"/>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61">
        <f>_xlfn.IFS(TableBets[[#This Row],[Win]]="Won",TableBets[[#This Row],[Stake]]*(TableBets[[#This Row],[Odds]]-1),AND(TableBets[[#This Row],[Win]]="Lost",TableBets[[#This Row],[BB]]&lt;&gt;"Y"),-TableBets[[#This Row],[Stake]],TableBets[[#This Row],[Win]]="Sold",-TableBets[[#This Row],[Stake]]+TableBets[[#This Row],[Sold for]],TRUE,0)</f>
        <v>2.2800000000000002</v>
      </c>
      <c r="N22" s="15"/>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61">
        <f>_xlfn.IFS(TableBets[[#This Row],[Win]]="Won",TableBets[[#This Row],[Stake]]*(TableBets[[#This Row],[Odds]]-1),AND(TableBets[[#This Row],[Win]]="Lost",TableBets[[#This Row],[BB]]&lt;&gt;"Y"),-TableBets[[#This Row],[Stake]],TableBets[[#This Row],[Win]]="Sold",-TableBets[[#This Row],[Stake]]+TableBets[[#This Row],[Sold for]],TRUE,0)</f>
        <v>2.3200000000000003</v>
      </c>
      <c r="N23" s="15"/>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61">
        <f>_xlfn.IFS(TableBets[[#This Row],[Win]]="Won",TableBets[[#This Row],[Stake]]*(TableBets[[#This Row],[Odds]]-1),AND(TableBets[[#This Row],[Win]]="Lost",TableBets[[#This Row],[BB]]&lt;&gt;"Y"),-TableBets[[#This Row],[Stake]],TableBets[[#This Row],[Win]]="Sold",-TableBets[[#This Row],[Stake]]+TableBets[[#This Row],[Sold for]],TRUE,0)</f>
        <v>3.4000000000000004</v>
      </c>
      <c r="N24" s="15"/>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61">
        <f>_xlfn.IFS(TableBets[[#This Row],[Win]]="Won",TableBets[[#This Row],[Stake]]*(TableBets[[#This Row],[Odds]]-1),AND(TableBets[[#This Row],[Win]]="Lost",TableBets[[#This Row],[BB]]&lt;&gt;"Y"),-TableBets[[#This Row],[Stake]],TableBets[[#This Row],[Win]]="Sold",-TableBets[[#This Row],[Stake]]+TableBets[[#This Row],[Sold for]],TRUE,0)</f>
        <v>1.88</v>
      </c>
      <c r="N25" s="15"/>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61">
        <f>_xlfn.IFS(TableBets[[#This Row],[Win]]="Won",TableBets[[#This Row],[Stake]]*(TableBets[[#This Row],[Odds]]-1),AND(TableBets[[#This Row],[Win]]="Lost",TableBets[[#This Row],[BB]]&lt;&gt;"Y"),-TableBets[[#This Row],[Stake]],TableBets[[#This Row],[Win]]="Sold",-TableBets[[#This Row],[Stake]]+TableBets[[#This Row],[Sold for]],TRUE,0)</f>
        <v>2.46</v>
      </c>
      <c r="N26" s="15"/>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61">
        <f>_xlfn.IFS(TableBets[[#This Row],[Win]]="Won",TableBets[[#This Row],[Stake]]*(TableBets[[#This Row],[Odds]]-1),AND(TableBets[[#This Row],[Win]]="Lost",TableBets[[#This Row],[BB]]&lt;&gt;"Y"),-TableBets[[#This Row],[Stake]],TableBets[[#This Row],[Win]]="Sold",-TableBets[[#This Row],[Stake]]+TableBets[[#This Row],[Sold for]],TRUE,0)</f>
        <v>1.06</v>
      </c>
      <c r="N27" s="15"/>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61">
        <f>_xlfn.IFS(TableBets[[#This Row],[Win]]="Won",TableBets[[#This Row],[Stake]]*(TableBets[[#This Row],[Odds]]-1),AND(TableBets[[#This Row],[Win]]="Lost",TableBets[[#This Row],[BB]]&lt;&gt;"Y"),-TableBets[[#This Row],[Stake]],TableBets[[#This Row],[Win]]="Sold",-TableBets[[#This Row],[Stake]]+TableBets[[#This Row],[Sold for]],TRUE,0)</f>
        <v>1.7800000000000002</v>
      </c>
      <c r="N28" s="15"/>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61">
        <f>_xlfn.IFS(TableBets[[#This Row],[Win]]="Won",TableBets[[#This Row],[Stake]]*(TableBets[[#This Row],[Odds]]-1),AND(TableBets[[#This Row],[Win]]="Lost",TableBets[[#This Row],[BB]]&lt;&gt;"Y"),-TableBets[[#This Row],[Stake]],TableBets[[#This Row],[Win]]="Sold",-TableBets[[#This Row],[Stake]]+TableBets[[#This Row],[Sold for]],TRUE,0)</f>
        <v>3.76</v>
      </c>
      <c r="N29" s="15"/>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61">
        <f>_xlfn.IFS(TableBets[[#This Row],[Win]]="Won",TableBets[[#This Row],[Stake]]*(TableBets[[#This Row],[Odds]]-1),AND(TableBets[[#This Row],[Win]]="Lost",TableBets[[#This Row],[BB]]&lt;&gt;"Y"),-TableBets[[#This Row],[Stake]],TableBets[[#This Row],[Win]]="Sold",-TableBets[[#This Row],[Stake]]+TableBets[[#This Row],[Sold for]],TRUE,0)</f>
        <v>2.08</v>
      </c>
      <c r="N30" s="15"/>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61">
        <f>_xlfn.IFS(TableBets[[#This Row],[Win]]="Won",TableBets[[#This Row],[Stake]]*(TableBets[[#This Row],[Odds]]-1),AND(TableBets[[#This Row],[Win]]="Lost",TableBets[[#This Row],[BB]]&lt;&gt;"Y"),-TableBets[[#This Row],[Stake]],TableBets[[#This Row],[Win]]="Sold",-TableBets[[#This Row],[Stake]]+TableBets[[#This Row],[Sold for]],TRUE,0)</f>
        <v>1.5199999999999996</v>
      </c>
      <c r="N31" s="15"/>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61">
        <f>_xlfn.IFS(TableBets[[#This Row],[Win]]="Won",TableBets[[#This Row],[Stake]]*(TableBets[[#This Row],[Odds]]-1),AND(TableBets[[#This Row],[Win]]="Lost",TableBets[[#This Row],[BB]]&lt;&gt;"Y"),-TableBets[[#This Row],[Stake]],TableBets[[#This Row],[Win]]="Sold",-TableBets[[#This Row],[Stake]]+TableBets[[#This Row],[Sold for]],TRUE,0)</f>
        <v>-4</v>
      </c>
      <c r="N32" s="15"/>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61">
        <f>_xlfn.IFS(TableBets[[#This Row],[Win]]="Won",TableBets[[#This Row],[Stake]]*(TableBets[[#This Row],[Odds]]-1),AND(TableBets[[#This Row],[Win]]="Lost",TableBets[[#This Row],[BB]]&lt;&gt;"Y"),-TableBets[[#This Row],[Stake]],TableBets[[#This Row],[Win]]="Sold",-TableBets[[#This Row],[Stake]]+TableBets[[#This Row],[Sold for]],TRUE,0)</f>
        <v>-4</v>
      </c>
      <c r="N33" s="15"/>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61">
        <f>_xlfn.IFS(TableBets[[#This Row],[Win]]="Won",TableBets[[#This Row],[Stake]]*(TableBets[[#This Row],[Odds]]-1),AND(TableBets[[#This Row],[Win]]="Lost",TableBets[[#This Row],[BB]]&lt;&gt;"Y"),-TableBets[[#This Row],[Stake]],TableBets[[#This Row],[Win]]="Sold",-TableBets[[#This Row],[Stake]]+TableBets[[#This Row],[Sold for]],TRUE,0)</f>
        <v>-4</v>
      </c>
      <c r="N34" s="15"/>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61">
        <f>_xlfn.IFS(TableBets[[#This Row],[Win]]="Won",TableBets[[#This Row],[Stake]]*(TableBets[[#This Row],[Odds]]-1),AND(TableBets[[#This Row],[Win]]="Lost",TableBets[[#This Row],[BB]]&lt;&gt;"Y"),-TableBets[[#This Row],[Stake]],TableBets[[#This Row],[Win]]="Sold",-TableBets[[#This Row],[Stake]]+TableBets[[#This Row],[Sold for]],TRUE,0)</f>
        <v>-4</v>
      </c>
      <c r="N35" s="15"/>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61">
        <f>_xlfn.IFS(TableBets[[#This Row],[Win]]="Won",TableBets[[#This Row],[Stake]]*(TableBets[[#This Row],[Odds]]-1),AND(TableBets[[#This Row],[Win]]="Lost",TableBets[[#This Row],[BB]]&lt;&gt;"Y"),-TableBets[[#This Row],[Stake]],TableBets[[#This Row],[Win]]="Sold",-TableBets[[#This Row],[Stake]]+TableBets[[#This Row],[Sold for]],TRUE,0)</f>
        <v>1.7599999999999998</v>
      </c>
      <c r="N36" s="15"/>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61">
        <f>_xlfn.IFS(TableBets[[#This Row],[Win]]="Won",TableBets[[#This Row],[Stake]]*(TableBets[[#This Row],[Odds]]-1),AND(TableBets[[#This Row],[Win]]="Lost",TableBets[[#This Row],[BB]]&lt;&gt;"Y"),-TableBets[[#This Row],[Stake]],TableBets[[#This Row],[Win]]="Sold",-TableBets[[#This Row],[Stake]]+TableBets[[#This Row],[Sold for]],TRUE,0)</f>
        <v>-4</v>
      </c>
      <c r="N37" s="15"/>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61">
        <f>_xlfn.IFS(TableBets[[#This Row],[Win]]="Won",TableBets[[#This Row],[Stake]]*(TableBets[[#This Row],[Odds]]-1),AND(TableBets[[#This Row],[Win]]="Lost",TableBets[[#This Row],[BB]]&lt;&gt;"Y"),-TableBets[[#This Row],[Stake]],TableBets[[#This Row],[Win]]="Sold",-TableBets[[#This Row],[Stake]]+TableBets[[#This Row],[Sold for]],TRUE,0)</f>
        <v>3.6600000000000006</v>
      </c>
      <c r="N38" s="15"/>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61">
        <f>_xlfn.IFS(TableBets[[#This Row],[Win]]="Won",TableBets[[#This Row],[Stake]]*(TableBets[[#This Row],[Odds]]-1),AND(TableBets[[#This Row],[Win]]="Lost",TableBets[[#This Row],[BB]]&lt;&gt;"Y"),-TableBets[[#This Row],[Stake]],TableBets[[#This Row],[Win]]="Sold",-TableBets[[#This Row],[Stake]]+TableBets[[#This Row],[Sold for]],TRUE,0)</f>
        <v>3.8999999999999995</v>
      </c>
      <c r="N39" s="1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61">
        <f>_xlfn.IFS(TableBets[[#This Row],[Win]]="Won",TableBets[[#This Row],[Stake]]*(TableBets[[#This Row],[Odds]]-1),AND(TableBets[[#This Row],[Win]]="Lost",TableBets[[#This Row],[BB]]&lt;&gt;"Y"),-TableBets[[#This Row],[Stake]],TableBets[[#This Row],[Win]]="Sold",-TableBets[[#This Row],[Stake]]+TableBets[[#This Row],[Sold for]],TRUE,0)</f>
        <v>-6</v>
      </c>
      <c r="N40" s="1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61">
        <f>_xlfn.IFS(TableBets[[#This Row],[Win]]="Won",TableBets[[#This Row],[Stake]]*(TableBets[[#This Row],[Odds]]-1),AND(TableBets[[#This Row],[Win]]="Lost",TableBets[[#This Row],[BB]]&lt;&gt;"Y"),-TableBets[[#This Row],[Stake]],TableBets[[#This Row],[Win]]="Sold",-TableBets[[#This Row],[Stake]]+TableBets[[#This Row],[Sold for]],TRUE,0)</f>
        <v>-4</v>
      </c>
      <c r="N41" s="1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61">
        <f>_xlfn.IFS(TableBets[[#This Row],[Win]]="Won",TableBets[[#This Row],[Stake]]*(TableBets[[#This Row],[Odds]]-1),AND(TableBets[[#This Row],[Win]]="Lost",TableBets[[#This Row],[BB]]&lt;&gt;"Y"),-TableBets[[#This Row],[Stake]],TableBets[[#This Row],[Win]]="Sold",-TableBets[[#This Row],[Stake]]+TableBets[[#This Row],[Sold for]],TRUE,0)</f>
        <v>3.4000000000000004</v>
      </c>
      <c r="N42" s="1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61">
        <f>_xlfn.IFS(TableBets[[#This Row],[Win]]="Won",TableBets[[#This Row],[Stake]]*(TableBets[[#This Row],[Odds]]-1),AND(TableBets[[#This Row],[Win]]="Lost",TableBets[[#This Row],[BB]]&lt;&gt;"Y"),-TableBets[[#This Row],[Stake]],TableBets[[#This Row],[Win]]="Sold",-TableBets[[#This Row],[Stake]]+TableBets[[#This Row],[Sold for]],TRUE,0)</f>
        <v>1.92</v>
      </c>
      <c r="N43" s="1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61">
        <f>_xlfn.IFS(TableBets[[#This Row],[Win]]="Won",TableBets[[#This Row],[Stake]]*(TableBets[[#This Row],[Odds]]-1),AND(TableBets[[#This Row],[Win]]="Lost",TableBets[[#This Row],[BB]]&lt;&gt;"Y"),-TableBets[[#This Row],[Stake]],TableBets[[#This Row],[Win]]="Sold",-TableBets[[#This Row],[Stake]]+TableBets[[#This Row],[Sold for]],TRUE,0)</f>
        <v>1.4000000000000004</v>
      </c>
      <c r="N44" s="1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61">
        <f>_xlfn.IFS(TableBets[[#This Row],[Win]]="Won",TableBets[[#This Row],[Stake]]*(TableBets[[#This Row],[Odds]]-1),AND(TableBets[[#This Row],[Win]]="Lost",TableBets[[#This Row],[BB]]&lt;&gt;"Y"),-TableBets[[#This Row],[Stake]],TableBets[[#This Row],[Win]]="Sold",-TableBets[[#This Row],[Stake]]+TableBets[[#This Row],[Sold for]],TRUE,0)</f>
        <v>-4</v>
      </c>
      <c r="N45" s="1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61">
        <f>_xlfn.IFS(TableBets[[#This Row],[Win]]="Won",TableBets[[#This Row],[Stake]]*(TableBets[[#This Row],[Odds]]-1),AND(TableBets[[#This Row],[Win]]="Lost",TableBets[[#This Row],[BB]]&lt;&gt;"Y"),-TableBets[[#This Row],[Stake]],TableBets[[#This Row],[Win]]="Sold",-TableBets[[#This Row],[Stake]]+TableBets[[#This Row],[Sold for]],TRUE,0)</f>
        <v>-4</v>
      </c>
      <c r="N46" s="1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61">
        <f>_xlfn.IFS(TableBets[[#This Row],[Win]]="Won",TableBets[[#This Row],[Stake]]*(TableBets[[#This Row],[Odds]]-1),AND(TableBets[[#This Row],[Win]]="Lost",TableBets[[#This Row],[BB]]&lt;&gt;"Y"),-TableBets[[#This Row],[Stake]],TableBets[[#This Row],[Win]]="Sold",-TableBets[[#This Row],[Stake]]+TableBets[[#This Row],[Sold for]],TRUE,0)</f>
        <v>-4</v>
      </c>
      <c r="N47" s="1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61">
        <f>_xlfn.IFS(TableBets[[#This Row],[Win]]="Won",TableBets[[#This Row],[Stake]]*(TableBets[[#This Row],[Odds]]-1),AND(TableBets[[#This Row],[Win]]="Lost",TableBets[[#This Row],[BB]]&lt;&gt;"Y"),-TableBets[[#This Row],[Stake]],TableBets[[#This Row],[Win]]="Sold",-TableBets[[#This Row],[Stake]]+TableBets[[#This Row],[Sold for]],TRUE,0)</f>
        <v>1.6479999999999997</v>
      </c>
      <c r="N48" s="1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61">
        <f>_xlfn.IFS(TableBets[[#This Row],[Win]]="Won",TableBets[[#This Row],[Stake]]*(TableBets[[#This Row],[Odds]]-1),AND(TableBets[[#This Row],[Win]]="Lost",TableBets[[#This Row],[BB]]&lt;&gt;"Y"),-TableBets[[#This Row],[Stake]],TableBets[[#This Row],[Win]]="Sold",-TableBets[[#This Row],[Stake]]+TableBets[[#This Row],[Sold for]],TRUE,0)</f>
        <v>2.1280000000000001</v>
      </c>
      <c r="N49" s="1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61">
        <f>_xlfn.IFS(TableBets[[#This Row],[Win]]="Won",TableBets[[#This Row],[Stake]]*(TableBets[[#This Row],[Odds]]-1),AND(TableBets[[#This Row],[Win]]="Lost",TableBets[[#This Row],[BB]]&lt;&gt;"Y"),-TableBets[[#This Row],[Stake]],TableBets[[#This Row],[Win]]="Sold",-TableBets[[#This Row],[Stake]]+TableBets[[#This Row],[Sold for]],TRUE,0)</f>
        <v>2.2000000000000002</v>
      </c>
      <c r="N50" s="1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61">
        <f>_xlfn.IFS(TableBets[[#This Row],[Win]]="Won",TableBets[[#This Row],[Stake]]*(TableBets[[#This Row],[Odds]]-1),AND(TableBets[[#This Row],[Win]]="Lost",TableBets[[#This Row],[BB]]&lt;&gt;"Y"),-TableBets[[#This Row],[Stake]],TableBets[[#This Row],[Win]]="Sold",-TableBets[[#This Row],[Stake]]+TableBets[[#This Row],[Sold for]],TRUE,0)</f>
        <v>-4</v>
      </c>
      <c r="N51" s="1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61">
        <f>_xlfn.IFS(TableBets[[#This Row],[Win]]="Won",TableBets[[#This Row],[Stake]]*(TableBets[[#This Row],[Odds]]-1),AND(TableBets[[#This Row],[Win]]="Lost",TableBets[[#This Row],[BB]]&lt;&gt;"Y"),-TableBets[[#This Row],[Stake]],TableBets[[#This Row],[Win]]="Sold",-TableBets[[#This Row],[Stake]]+TableBets[[#This Row],[Sold for]],TRUE,0)</f>
        <v>-4</v>
      </c>
      <c r="N52" s="1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61">
        <f>_xlfn.IFS(TableBets[[#This Row],[Win]]="Won",TableBets[[#This Row],[Stake]]*(TableBets[[#This Row],[Odds]]-1),AND(TableBets[[#This Row],[Win]]="Lost",TableBets[[#This Row],[BB]]&lt;&gt;"Y"),-TableBets[[#This Row],[Stake]],TableBets[[#This Row],[Win]]="Sold",-TableBets[[#This Row],[Stake]]+TableBets[[#This Row],[Sold for]],TRUE,0)</f>
        <v>0</v>
      </c>
      <c r="N53" s="1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61">
        <f>_xlfn.IFS(TableBets[[#This Row],[Win]]="Won",TableBets[[#This Row],[Stake]]*(TableBets[[#This Row],[Odds]]-1),AND(TableBets[[#This Row],[Win]]="Lost",TableBets[[#This Row],[BB]]&lt;&gt;"Y"),-TableBets[[#This Row],[Stake]],TableBets[[#This Row],[Win]]="Sold",-TableBets[[#This Row],[Stake]]+TableBets[[#This Row],[Sold for]],TRUE,0)</f>
        <v>0</v>
      </c>
      <c r="N54" s="1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61">
        <f>_xlfn.IFS(TableBets[[#This Row],[Win]]="Won",TableBets[[#This Row],[Stake]]*(TableBets[[#This Row],[Odds]]-1),AND(TableBets[[#This Row],[Win]]="Lost",TableBets[[#This Row],[BB]]&lt;&gt;"Y"),-TableBets[[#This Row],[Stake]],TableBets[[#This Row],[Win]]="Sold",-TableBets[[#This Row],[Stake]]+TableBets[[#This Row],[Sold for]],TRUE,0)</f>
        <v>0</v>
      </c>
      <c r="N55" s="1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61">
        <f>_xlfn.IFS(TableBets[[#This Row],[Win]]="Won",TableBets[[#This Row],[Stake]]*(TableBets[[#This Row],[Odds]]-1),AND(TableBets[[#This Row],[Win]]="Lost",TableBets[[#This Row],[BB]]&lt;&gt;"Y"),-TableBets[[#This Row],[Stake]],TableBets[[#This Row],[Win]]="Sold",-TableBets[[#This Row],[Stake]]+TableBets[[#This Row],[Sold for]],TRUE,0)</f>
        <v>0</v>
      </c>
      <c r="N56" s="1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61">
        <f>_xlfn.IFS(TableBets[[#This Row],[Win]]="Won",TableBets[[#This Row],[Stake]]*(TableBets[[#This Row],[Odds]]-1),AND(TableBets[[#This Row],[Win]]="Lost",TableBets[[#This Row],[BB]]&lt;&gt;"Y"),-TableBets[[#This Row],[Stake]],TableBets[[#This Row],[Win]]="Sold",-TableBets[[#This Row],[Stake]]+TableBets[[#This Row],[Sold for]],TRUE,0)</f>
        <v>-4</v>
      </c>
      <c r="N57" s="1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61">
        <f>_xlfn.IFS(TableBets[[#This Row],[Win]]="Won",TableBets[[#This Row],[Stake]]*(TableBets[[#This Row],[Odds]]-1),AND(TableBets[[#This Row],[Win]]="Lost",TableBets[[#This Row],[BB]]&lt;&gt;"Y"),-TableBets[[#This Row],[Stake]],TableBets[[#This Row],[Win]]="Sold",-TableBets[[#This Row],[Stake]]+TableBets[[#This Row],[Sold for]],TRUE,0)</f>
        <v>-4</v>
      </c>
      <c r="N58" s="1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61">
        <f>_xlfn.IFS(TableBets[[#This Row],[Win]]="Won",TableBets[[#This Row],[Stake]]*(TableBets[[#This Row],[Odds]]-1),AND(TableBets[[#This Row],[Win]]="Lost",TableBets[[#This Row],[BB]]&lt;&gt;"Y"),-TableBets[[#This Row],[Stake]],TableBets[[#This Row],[Win]]="Sold",-TableBets[[#This Row],[Stake]]+TableBets[[#This Row],[Sold for]],TRUE,0)</f>
        <v>-4</v>
      </c>
      <c r="N59" s="1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61">
        <f>_xlfn.IFS(TableBets[[#This Row],[Win]]="Won",TableBets[[#This Row],[Stake]]*(TableBets[[#This Row],[Odds]]-1),AND(TableBets[[#This Row],[Win]]="Lost",TableBets[[#This Row],[BB]]&lt;&gt;"Y"),-TableBets[[#This Row],[Stake]],TableBets[[#This Row],[Win]]="Sold",-TableBets[[#This Row],[Stake]]+TableBets[[#This Row],[Sold for]],TRUE,0)</f>
        <v>-4</v>
      </c>
      <c r="N60" s="1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61">
        <f>_xlfn.IFS(TableBets[[#This Row],[Win]]="Won",TableBets[[#This Row],[Stake]]*(TableBets[[#This Row],[Odds]]-1),AND(TableBets[[#This Row],[Win]]="Lost",TableBets[[#This Row],[BB]]&lt;&gt;"Y"),-TableBets[[#This Row],[Stake]],TableBets[[#This Row],[Win]]="Sold",-TableBets[[#This Row],[Stake]]+TableBets[[#This Row],[Sold for]],TRUE,0)</f>
        <v>2.7199999999999998</v>
      </c>
      <c r="N61" s="1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61">
        <f>_xlfn.IFS(TableBets[[#This Row],[Win]]="Won",TableBets[[#This Row],[Stake]]*(TableBets[[#This Row],[Odds]]-1),AND(TableBets[[#This Row],[Win]]="Lost",TableBets[[#This Row],[BB]]&lt;&gt;"Y"),-TableBets[[#This Row],[Stake]],TableBets[[#This Row],[Win]]="Sold",-TableBets[[#This Row],[Stake]]+TableBets[[#This Row],[Sold for]],TRUE,0)</f>
        <v>-4</v>
      </c>
      <c r="N62" s="1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61">
        <f>_xlfn.IFS(TableBets[[#This Row],[Win]]="Won",TableBets[[#This Row],[Stake]]*(TableBets[[#This Row],[Odds]]-1),AND(TableBets[[#This Row],[Win]]="Lost",TableBets[[#This Row],[BB]]&lt;&gt;"Y"),-TableBets[[#This Row],[Stake]],TableBets[[#This Row],[Win]]="Sold",-TableBets[[#This Row],[Stake]]+TableBets[[#This Row],[Sold for]],TRUE,0)</f>
        <v>-4</v>
      </c>
      <c r="N63" s="1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61">
        <f>_xlfn.IFS(TableBets[[#This Row],[Win]]="Won",TableBets[[#This Row],[Stake]]*(TableBets[[#This Row],[Odds]]-1),AND(TableBets[[#This Row],[Win]]="Lost",TableBets[[#This Row],[BB]]&lt;&gt;"Y"),-TableBets[[#This Row],[Stake]],TableBets[[#This Row],[Win]]="Sold",-TableBets[[#This Row],[Stake]]+TableBets[[#This Row],[Sold for]],TRUE,0)</f>
        <v>2.4800000000000004</v>
      </c>
      <c r="N64" s="1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61">
        <f>_xlfn.IFS(TableBets[[#This Row],[Win]]="Won",TableBets[[#This Row],[Stake]]*(TableBets[[#This Row],[Odds]]-1),AND(TableBets[[#This Row],[Win]]="Lost",TableBets[[#This Row],[BB]]&lt;&gt;"Y"),-TableBets[[#This Row],[Stake]],TableBets[[#This Row],[Win]]="Sold",-TableBets[[#This Row],[Stake]]+TableBets[[#This Row],[Sold for]],TRUE,0)</f>
        <v>2.4800000000000004</v>
      </c>
      <c r="N65" s="1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61">
        <f>_xlfn.IFS(TableBets[[#This Row],[Win]]="Won",TableBets[[#This Row],[Stake]]*(TableBets[[#This Row],[Odds]]-1),AND(TableBets[[#This Row],[Win]]="Lost",TableBets[[#This Row],[BB]]&lt;&gt;"Y"),-TableBets[[#This Row],[Stake]],TableBets[[#This Row],[Win]]="Sold",-TableBets[[#This Row],[Stake]]+TableBets[[#This Row],[Sold for]],TRUE,0)</f>
        <v>-4</v>
      </c>
      <c r="N66" s="1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61">
        <f>_xlfn.IFS(TableBets[[#This Row],[Win]]="Won",TableBets[[#This Row],[Stake]]*(TableBets[[#This Row],[Odds]]-1),AND(TableBets[[#This Row],[Win]]="Lost",TableBets[[#This Row],[BB]]&lt;&gt;"Y"),-TableBets[[#This Row],[Stake]],TableBets[[#This Row],[Win]]="Sold",-TableBets[[#This Row],[Stake]]+TableBets[[#This Row],[Sold for]],TRUE,0)</f>
        <v>3.04</v>
      </c>
      <c r="N67" s="1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61">
        <f>_xlfn.IFS(TableBets[[#This Row],[Win]]="Won",TableBets[[#This Row],[Stake]]*(TableBets[[#This Row],[Odds]]-1),AND(TableBets[[#This Row],[Win]]="Lost",TableBets[[#This Row],[BB]]&lt;&gt;"Y"),-TableBets[[#This Row],[Stake]],TableBets[[#This Row],[Win]]="Sold",-TableBets[[#This Row],[Stake]]+TableBets[[#This Row],[Sold for]],TRUE,0)</f>
        <v>3.2</v>
      </c>
      <c r="N68" s="1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61">
        <f>_xlfn.IFS(TableBets[[#This Row],[Win]]="Won",TableBets[[#This Row],[Stake]]*(TableBets[[#This Row],[Odds]]-1),AND(TableBets[[#This Row],[Win]]="Lost",TableBets[[#This Row],[BB]]&lt;&gt;"Y"),-TableBets[[#This Row],[Stake]],TableBets[[#This Row],[Win]]="Sold",-TableBets[[#This Row],[Stake]]+TableBets[[#This Row],[Sold for]],TRUE,0)</f>
        <v>3.6639999999999997</v>
      </c>
      <c r="N69" s="1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61">
        <f>_xlfn.IFS(TableBets[[#This Row],[Win]]="Won",TableBets[[#This Row],[Stake]]*(TableBets[[#This Row],[Odds]]-1),AND(TableBets[[#This Row],[Win]]="Lost",TableBets[[#This Row],[BB]]&lt;&gt;"Y"),-TableBets[[#This Row],[Stake]],TableBets[[#This Row],[Win]]="Sold",-TableBets[[#This Row],[Stake]]+TableBets[[#This Row],[Sold for]],TRUE,0)</f>
        <v>-4</v>
      </c>
      <c r="N70" s="1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61">
        <f>_xlfn.IFS(TableBets[[#This Row],[Win]]="Won",TableBets[[#This Row],[Stake]]*(TableBets[[#This Row],[Odds]]-1),AND(TableBets[[#This Row],[Win]]="Lost",TableBets[[#This Row],[BB]]&lt;&gt;"Y"),-TableBets[[#This Row],[Stake]],TableBets[[#This Row],[Win]]="Sold",-TableBets[[#This Row],[Stake]]+TableBets[[#This Row],[Sold for]],TRUE,0)</f>
        <v>-4</v>
      </c>
      <c r="N71" s="1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61">
        <f>_xlfn.IFS(TableBets[[#This Row],[Win]]="Won",TableBets[[#This Row],[Stake]]*(TableBets[[#This Row],[Odds]]-1),AND(TableBets[[#This Row],[Win]]="Lost",TableBets[[#This Row],[BB]]&lt;&gt;"Y"),-TableBets[[#This Row],[Stake]],TableBets[[#This Row],[Win]]="Sold",-TableBets[[#This Row],[Stake]]+TableBets[[#This Row],[Sold for]],TRUE,0)</f>
        <v>-4</v>
      </c>
      <c r="N72" s="1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61">
        <f>_xlfn.IFS(TableBets[[#This Row],[Win]]="Won",TableBets[[#This Row],[Stake]]*(TableBets[[#This Row],[Odds]]-1),AND(TableBets[[#This Row],[Win]]="Lost",TableBets[[#This Row],[BB]]&lt;&gt;"Y"),-TableBets[[#This Row],[Stake]],TableBets[[#This Row],[Win]]="Sold",-TableBets[[#This Row],[Stake]]+TableBets[[#This Row],[Sold for]],TRUE,0)</f>
        <v>-4</v>
      </c>
      <c r="N73" s="1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61">
        <f>_xlfn.IFS(TableBets[[#This Row],[Win]]="Won",TableBets[[#This Row],[Stake]]*(TableBets[[#This Row],[Odds]]-1),AND(TableBets[[#This Row],[Win]]="Lost",TableBets[[#This Row],[BB]]&lt;&gt;"Y"),-TableBets[[#This Row],[Stake]],TableBets[[#This Row],[Win]]="Sold",-TableBets[[#This Row],[Stake]]+TableBets[[#This Row],[Sold for]],TRUE,0)</f>
        <v>2.58</v>
      </c>
      <c r="N74" s="1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61">
        <f>_xlfn.IFS(TableBets[[#This Row],[Win]]="Won",TableBets[[#This Row],[Stake]]*(TableBets[[#This Row],[Odds]]-1),AND(TableBets[[#This Row],[Win]]="Lost",TableBets[[#This Row],[BB]]&lt;&gt;"Y"),-TableBets[[#This Row],[Stake]],TableBets[[#This Row],[Win]]="Sold",-TableBets[[#This Row],[Stake]]+TableBets[[#This Row],[Sold for]],TRUE,0)</f>
        <v>1.3760000000000003</v>
      </c>
      <c r="N75" s="1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61">
        <f>_xlfn.IFS(TableBets[[#This Row],[Win]]="Won",TableBets[[#This Row],[Stake]]*(TableBets[[#This Row],[Odds]]-1),AND(TableBets[[#This Row],[Win]]="Lost",TableBets[[#This Row],[BB]]&lt;&gt;"Y"),-TableBets[[#This Row],[Stake]],TableBets[[#This Row],[Win]]="Sold",-TableBets[[#This Row],[Stake]]+TableBets[[#This Row],[Sold for]],TRUE,0)</f>
        <v>-4</v>
      </c>
      <c r="N76" s="1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61">
        <f>_xlfn.IFS(TableBets[[#This Row],[Win]]="Won",TableBets[[#This Row],[Stake]]*(TableBets[[#This Row],[Odds]]-1),AND(TableBets[[#This Row],[Win]]="Lost",TableBets[[#This Row],[BB]]&lt;&gt;"Y"),-TableBets[[#This Row],[Stake]],TableBets[[#This Row],[Win]]="Sold",-TableBets[[#This Row],[Stake]]+TableBets[[#This Row],[Sold for]],TRUE,0)</f>
        <v>-4</v>
      </c>
      <c r="N77" s="1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61">
        <f>_xlfn.IFS(TableBets[[#This Row],[Win]]="Won",TableBets[[#This Row],[Stake]]*(TableBets[[#This Row],[Odds]]-1),AND(TableBets[[#This Row],[Win]]="Lost",TableBets[[#This Row],[BB]]&lt;&gt;"Y"),-TableBets[[#This Row],[Stake]],TableBets[[#This Row],[Win]]="Sold",-TableBets[[#This Row],[Stake]]+TableBets[[#This Row],[Sold for]],TRUE,0)</f>
        <v>-2</v>
      </c>
      <c r="N78" s="1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61">
        <f>_xlfn.IFS(TableBets[[#This Row],[Win]]="Won",TableBets[[#This Row],[Stake]]*(TableBets[[#This Row],[Odds]]-1),AND(TableBets[[#This Row],[Win]]="Lost",TableBets[[#This Row],[BB]]&lt;&gt;"Y"),-TableBets[[#This Row],[Stake]],TableBets[[#This Row],[Win]]="Sold",-TableBets[[#This Row],[Stake]]+TableBets[[#This Row],[Sold for]],TRUE,0)</f>
        <v>0</v>
      </c>
      <c r="N79" s="1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61">
        <f>_xlfn.IFS(TableBets[[#This Row],[Win]]="Won",TableBets[[#This Row],[Stake]]*(TableBets[[#This Row],[Odds]]-1),AND(TableBets[[#This Row],[Win]]="Lost",TableBets[[#This Row],[BB]]&lt;&gt;"Y"),-TableBets[[#This Row],[Stake]],TableBets[[#This Row],[Win]]="Sold",-TableBets[[#This Row],[Stake]]+TableBets[[#This Row],[Sold for]],TRUE,0)</f>
        <v>0</v>
      </c>
      <c r="N80" s="1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61">
        <f>_xlfn.IFS(TableBets[[#This Row],[Win]]="Won",TableBets[[#This Row],[Stake]]*(TableBets[[#This Row],[Odds]]-1),AND(TableBets[[#This Row],[Win]]="Lost",TableBets[[#This Row],[BB]]&lt;&gt;"Y"),-TableBets[[#This Row],[Stake]],TableBets[[#This Row],[Win]]="Sold",-TableBets[[#This Row],[Stake]]+TableBets[[#This Row],[Sold for]],TRUE,0)</f>
        <v>0</v>
      </c>
      <c r="N81" s="1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61">
        <f>_xlfn.IFS(TableBets[[#This Row],[Win]]="Won",TableBets[[#This Row],[Stake]]*(TableBets[[#This Row],[Odds]]-1),AND(TableBets[[#This Row],[Win]]="Lost",TableBets[[#This Row],[BB]]&lt;&gt;"Y"),-TableBets[[#This Row],[Stake]],TableBets[[#This Row],[Win]]="Sold",-TableBets[[#This Row],[Stake]]+TableBets[[#This Row],[Sold for]],TRUE,0)</f>
        <v>0</v>
      </c>
      <c r="N82" s="1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61">
        <f>_xlfn.IFS(TableBets[[#This Row],[Win]]="Won",TableBets[[#This Row],[Stake]]*(TableBets[[#This Row],[Odds]]-1),AND(TableBets[[#This Row],[Win]]="Lost",TableBets[[#This Row],[BB]]&lt;&gt;"Y"),-TableBets[[#This Row],[Stake]],TableBets[[#This Row],[Win]]="Sold",-TableBets[[#This Row],[Stake]]+TableBets[[#This Row],[Sold for]],TRUE,0)</f>
        <v>-4</v>
      </c>
      <c r="N83" s="1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61">
        <f>_xlfn.IFS(TableBets[[#This Row],[Win]]="Won",TableBets[[#This Row],[Stake]]*(TableBets[[#This Row],[Odds]]-1),AND(TableBets[[#This Row],[Win]]="Lost",TableBets[[#This Row],[BB]]&lt;&gt;"Y"),-TableBets[[#This Row],[Stake]],TableBets[[#This Row],[Win]]="Sold",-TableBets[[#This Row],[Stake]]+TableBets[[#This Row],[Sold for]],TRUE,0)</f>
        <v>-5</v>
      </c>
      <c r="N84" s="1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61">
        <f>_xlfn.IFS(TableBets[[#This Row],[Win]]="Won",TableBets[[#This Row],[Stake]]*(TableBets[[#This Row],[Odds]]-1),AND(TableBets[[#This Row],[Win]]="Lost",TableBets[[#This Row],[BB]]&lt;&gt;"Y"),-TableBets[[#This Row],[Stake]],TableBets[[#This Row],[Win]]="Sold",-TableBets[[#This Row],[Stake]]+TableBets[[#This Row],[Sold for]],TRUE,0)</f>
        <v>-4</v>
      </c>
      <c r="N85" s="1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61">
        <f>_xlfn.IFS(TableBets[[#This Row],[Win]]="Won",TableBets[[#This Row],[Stake]]*(TableBets[[#This Row],[Odds]]-1),AND(TableBets[[#This Row],[Win]]="Lost",TableBets[[#This Row],[BB]]&lt;&gt;"Y"),-TableBets[[#This Row],[Stake]],TableBets[[#This Row],[Win]]="Sold",-TableBets[[#This Row],[Stake]]+TableBets[[#This Row],[Sold for]],TRUE,0)</f>
        <v>3.1600800000000002</v>
      </c>
      <c r="N86" s="1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61">
        <f>_xlfn.IFS(TableBets[[#This Row],[Win]]="Won",TableBets[[#This Row],[Stake]]*(TableBets[[#This Row],[Odds]]-1),AND(TableBets[[#This Row],[Win]]="Lost",TableBets[[#This Row],[BB]]&lt;&gt;"Y"),-TableBets[[#This Row],[Stake]],TableBets[[#This Row],[Win]]="Sold",-TableBets[[#This Row],[Stake]]+TableBets[[#This Row],[Sold for]],TRUE,0)</f>
        <v>-4</v>
      </c>
      <c r="N87" s="1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61">
        <f>_xlfn.IFS(TableBets[[#This Row],[Win]]="Won",TableBets[[#This Row],[Stake]]*(TableBets[[#This Row],[Odds]]-1),AND(TableBets[[#This Row],[Win]]="Lost",TableBets[[#This Row],[BB]]&lt;&gt;"Y"),-TableBets[[#This Row],[Stake]],TableBets[[#This Row],[Win]]="Sold",-TableBets[[#This Row],[Stake]]+TableBets[[#This Row],[Sold for]],TRUE,0)</f>
        <v>2.6799999999999997</v>
      </c>
      <c r="N88" s="1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61">
        <f>_xlfn.IFS(TableBets[[#This Row],[Win]]="Won",TableBets[[#This Row],[Stake]]*(TableBets[[#This Row],[Odds]]-1),AND(TableBets[[#This Row],[Win]]="Lost",TableBets[[#This Row],[BB]]&lt;&gt;"Y"),-TableBets[[#This Row],[Stake]],TableBets[[#This Row],[Win]]="Sold",-TableBets[[#This Row],[Stake]]+TableBets[[#This Row],[Sold for]],TRUE,0)</f>
        <v>-1.1000000000000001</v>
      </c>
      <c r="N89" s="1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61">
        <f>_xlfn.IFS(TableBets[[#This Row],[Win]]="Won",TableBets[[#This Row],[Stake]]*(TableBets[[#This Row],[Odds]]-1),AND(TableBets[[#This Row],[Win]]="Lost",TableBets[[#This Row],[BB]]&lt;&gt;"Y"),-TableBets[[#This Row],[Stake]],TableBets[[#This Row],[Win]]="Sold",-TableBets[[#This Row],[Stake]]+TableBets[[#This Row],[Sold for]],TRUE,0)</f>
        <v>4.9966400000000002</v>
      </c>
      <c r="N90" s="1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61">
        <f>_xlfn.IFS(TableBets[[#This Row],[Win]]="Won",TableBets[[#This Row],[Stake]]*(TableBets[[#This Row],[Odds]]-1),AND(TableBets[[#This Row],[Win]]="Lost",TableBets[[#This Row],[BB]]&lt;&gt;"Y"),-TableBets[[#This Row],[Stake]],TableBets[[#This Row],[Win]]="Sold",-TableBets[[#This Row],[Stake]]+TableBets[[#This Row],[Sold for]],TRUE,0)</f>
        <v>-4</v>
      </c>
      <c r="N91" s="1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61">
        <f>_xlfn.IFS(TableBets[[#This Row],[Win]]="Won",TableBets[[#This Row],[Stake]]*(TableBets[[#This Row],[Odds]]-1),AND(TableBets[[#This Row],[Win]]="Lost",TableBets[[#This Row],[BB]]&lt;&gt;"Y"),-TableBets[[#This Row],[Stake]],TableBets[[#This Row],[Win]]="Sold",-TableBets[[#This Row],[Stake]]+TableBets[[#This Row],[Sold for]],TRUE,0)</f>
        <v>1.7999999999999998</v>
      </c>
      <c r="N92" s="1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61">
        <f>_xlfn.IFS(TableBets[[#This Row],[Win]]="Won",TableBets[[#This Row],[Stake]]*(TableBets[[#This Row],[Odds]]-1),AND(TableBets[[#This Row],[Win]]="Lost",TableBets[[#This Row],[BB]]&lt;&gt;"Y"),-TableBets[[#This Row],[Stake]],TableBets[[#This Row],[Win]]="Sold",-TableBets[[#This Row],[Stake]]+TableBets[[#This Row],[Sold for]],TRUE,0)</f>
        <v>2.2080000000000006</v>
      </c>
      <c r="N93" s="1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61">
        <f>_xlfn.IFS(TableBets[[#This Row],[Win]]="Won",TableBets[[#This Row],[Stake]]*(TableBets[[#This Row],[Odds]]-1),AND(TableBets[[#This Row],[Win]]="Lost",TableBets[[#This Row],[BB]]&lt;&gt;"Y"),-TableBets[[#This Row],[Stake]],TableBets[[#This Row],[Win]]="Sold",-TableBets[[#This Row],[Stake]]+TableBets[[#This Row],[Sold for]],TRUE,0)</f>
        <v>4.4800000000000004</v>
      </c>
      <c r="N94" s="1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61">
        <f>_xlfn.IFS(TableBets[[#This Row],[Win]]="Won",TableBets[[#This Row],[Stake]]*(TableBets[[#This Row],[Odds]]-1),AND(TableBets[[#This Row],[Win]]="Lost",TableBets[[#This Row],[BB]]&lt;&gt;"Y"),-TableBets[[#This Row],[Stake]],TableBets[[#This Row],[Win]]="Sold",-TableBets[[#This Row],[Stake]]+TableBets[[#This Row],[Sold for]],TRUE,0)</f>
        <v>2.1399999999999997</v>
      </c>
      <c r="N95" s="1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61">
        <f>_xlfn.IFS(TableBets[[#This Row],[Win]]="Won",TableBets[[#This Row],[Stake]]*(TableBets[[#This Row],[Odds]]-1),AND(TableBets[[#This Row],[Win]]="Lost",TableBets[[#This Row],[BB]]&lt;&gt;"Y"),-TableBets[[#This Row],[Stake]],TableBets[[#This Row],[Win]]="Sold",-TableBets[[#This Row],[Stake]]+TableBets[[#This Row],[Sold for]],TRUE,0)</f>
        <v>2.7</v>
      </c>
      <c r="N96" s="1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61">
        <f>_xlfn.IFS(TableBets[[#This Row],[Win]]="Won",TableBets[[#This Row],[Stake]]*(TableBets[[#This Row],[Odds]]-1),AND(TableBets[[#This Row],[Win]]="Lost",TableBets[[#This Row],[BB]]&lt;&gt;"Y"),-TableBets[[#This Row],[Stake]],TableBets[[#This Row],[Win]]="Sold",-TableBets[[#This Row],[Stake]]+TableBets[[#This Row],[Sold for]],TRUE,0)</f>
        <v>1.4400000000000004</v>
      </c>
      <c r="N97" s="1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61">
        <f>_xlfn.IFS(TableBets[[#This Row],[Win]]="Won",TableBets[[#This Row],[Stake]]*(TableBets[[#This Row],[Odds]]-1),AND(TableBets[[#This Row],[Win]]="Lost",TableBets[[#This Row],[BB]]&lt;&gt;"Y"),-TableBets[[#This Row],[Stake]],TableBets[[#This Row],[Win]]="Sold",-TableBets[[#This Row],[Stake]]+TableBets[[#This Row],[Sold for]],TRUE,0)</f>
        <v>3.04</v>
      </c>
      <c r="N98" s="1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61">
        <f>_xlfn.IFS(TableBets[[#This Row],[Win]]="Won",TableBets[[#This Row],[Stake]]*(TableBets[[#This Row],[Odds]]-1),AND(TableBets[[#This Row],[Win]]="Lost",TableBets[[#This Row],[BB]]&lt;&gt;"Y"),-TableBets[[#This Row],[Stake]],TableBets[[#This Row],[Win]]="Sold",-TableBets[[#This Row],[Stake]]+TableBets[[#This Row],[Sold for]],TRUE,0)</f>
        <v>1.7599999999999998</v>
      </c>
      <c r="N99" s="1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61">
        <f>_xlfn.IFS(TableBets[[#This Row],[Win]]="Won",TableBets[[#This Row],[Stake]]*(TableBets[[#This Row],[Odds]]-1),AND(TableBets[[#This Row],[Win]]="Lost",TableBets[[#This Row],[BB]]&lt;&gt;"Y"),-TableBets[[#This Row],[Stake]],TableBets[[#This Row],[Win]]="Sold",-TableBets[[#This Row],[Stake]]+TableBets[[#This Row],[Sold for]],TRUE,0)</f>
        <v>-4</v>
      </c>
      <c r="N100" s="1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61">
        <f>_xlfn.IFS(TableBets[[#This Row],[Win]]="Won",TableBets[[#This Row],[Stake]]*(TableBets[[#This Row],[Odds]]-1),AND(TableBets[[#This Row],[Win]]="Lost",TableBets[[#This Row],[BB]]&lt;&gt;"Y"),-TableBets[[#This Row],[Stake]],TableBets[[#This Row],[Win]]="Sold",-TableBets[[#This Row],[Stake]]+TableBets[[#This Row],[Sold for]],TRUE,0)</f>
        <v>-4</v>
      </c>
      <c r="N101" s="1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61">
        <f>_xlfn.IFS(TableBets[[#This Row],[Win]]="Won",TableBets[[#This Row],[Stake]]*(TableBets[[#This Row],[Odds]]-1),AND(TableBets[[#This Row],[Win]]="Lost",TableBets[[#This Row],[BB]]&lt;&gt;"Y"),-TableBets[[#This Row],[Stake]],TableBets[[#This Row],[Win]]="Sold",-TableBets[[#This Row],[Stake]]+TableBets[[#This Row],[Sold for]],TRUE,0)</f>
        <v>-4</v>
      </c>
      <c r="N102" s="1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61">
        <f>_xlfn.IFS(TableBets[[#This Row],[Win]]="Won",TableBets[[#This Row],[Stake]]*(TableBets[[#This Row],[Odds]]-1),AND(TableBets[[#This Row],[Win]]="Lost",TableBets[[#This Row],[BB]]&lt;&gt;"Y"),-TableBets[[#This Row],[Stake]],TableBets[[#This Row],[Win]]="Sold",-TableBets[[#This Row],[Stake]]+TableBets[[#This Row],[Sold for]],TRUE,0)</f>
        <v>-4</v>
      </c>
      <c r="N103" s="1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61">
        <f>_xlfn.IFS(TableBets[[#This Row],[Win]]="Won",TableBets[[#This Row],[Stake]]*(TableBets[[#This Row],[Odds]]-1),AND(TableBets[[#This Row],[Win]]="Lost",TableBets[[#This Row],[BB]]&lt;&gt;"Y"),-TableBets[[#This Row],[Stake]],TableBets[[#This Row],[Win]]="Sold",-TableBets[[#This Row],[Stake]]+TableBets[[#This Row],[Sold for]],TRUE,0)</f>
        <v>3.7199999999999998</v>
      </c>
      <c r="N104" s="1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61">
        <f>_xlfn.IFS(TableBets[[#This Row],[Win]]="Won",TableBets[[#This Row],[Stake]]*(TableBets[[#This Row],[Odds]]-1),AND(TableBets[[#This Row],[Win]]="Lost",TableBets[[#This Row],[BB]]&lt;&gt;"Y"),-TableBets[[#This Row],[Stake]],TableBets[[#This Row],[Win]]="Sold",-TableBets[[#This Row],[Stake]]+TableBets[[#This Row],[Sold for]],TRUE,0)</f>
        <v>1.9817</v>
      </c>
      <c r="N105" s="1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61">
        <f>_xlfn.IFS(TableBets[[#This Row],[Win]]="Won",TableBets[[#This Row],[Stake]]*(TableBets[[#This Row],[Odds]]-1),AND(TableBets[[#This Row],[Win]]="Lost",TableBets[[#This Row],[BB]]&lt;&gt;"Y"),-TableBets[[#This Row],[Stake]],TableBets[[#This Row],[Win]]="Sold",-TableBets[[#This Row],[Stake]]+TableBets[[#This Row],[Sold for]],TRUE,0)</f>
        <v>3.4000000000000004</v>
      </c>
      <c r="N106" s="1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61">
        <f>_xlfn.IFS(TableBets[[#This Row],[Win]]="Won",TableBets[[#This Row],[Stake]]*(TableBets[[#This Row],[Odds]]-1),AND(TableBets[[#This Row],[Win]]="Lost",TableBets[[#This Row],[BB]]&lt;&gt;"Y"),-TableBets[[#This Row],[Stake]],TableBets[[#This Row],[Win]]="Sold",-TableBets[[#This Row],[Stake]]+TableBets[[#This Row],[Sold for]],TRUE,0)</f>
        <v>3.2800000000000002</v>
      </c>
      <c r="N107" s="1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61">
        <f>_xlfn.IFS(TableBets[[#This Row],[Win]]="Won",TableBets[[#This Row],[Stake]]*(TableBets[[#This Row],[Odds]]-1),AND(TableBets[[#This Row],[Win]]="Lost",TableBets[[#This Row],[BB]]&lt;&gt;"Y"),-TableBets[[#This Row],[Stake]],TableBets[[#This Row],[Win]]="Sold",-TableBets[[#This Row],[Stake]]+TableBets[[#This Row],[Sold for]],TRUE,0)</f>
        <v>1.92</v>
      </c>
      <c r="N108" s="1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61">
        <f>_xlfn.IFS(TableBets[[#This Row],[Win]]="Won",TableBets[[#This Row],[Stake]]*(TableBets[[#This Row],[Odds]]-1),AND(TableBets[[#This Row],[Win]]="Lost",TableBets[[#This Row],[BB]]&lt;&gt;"Y"),-TableBets[[#This Row],[Stake]],TableBets[[#This Row],[Win]]="Sold",-TableBets[[#This Row],[Stake]]+TableBets[[#This Row],[Sold for]],TRUE,0)</f>
        <v>1.7999999999999998</v>
      </c>
      <c r="N109" s="1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61">
        <f>_xlfn.IFS(TableBets[[#This Row],[Win]]="Won",TableBets[[#This Row],[Stake]]*(TableBets[[#This Row],[Odds]]-1),AND(TableBets[[#This Row],[Win]]="Lost",TableBets[[#This Row],[BB]]&lt;&gt;"Y"),-TableBets[[#This Row],[Stake]],TableBets[[#This Row],[Win]]="Sold",-TableBets[[#This Row],[Stake]]+TableBets[[#This Row],[Sold for]],TRUE,0)</f>
        <v>-4</v>
      </c>
      <c r="N110" s="1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61">
        <f>_xlfn.IFS(TableBets[[#This Row],[Win]]="Won",TableBets[[#This Row],[Stake]]*(TableBets[[#This Row],[Odds]]-1),AND(TableBets[[#This Row],[Win]]="Lost",TableBets[[#This Row],[BB]]&lt;&gt;"Y"),-TableBets[[#This Row],[Stake]],TableBets[[#This Row],[Win]]="Sold",-TableBets[[#This Row],[Stake]]+TableBets[[#This Row],[Sold for]],TRUE,0)</f>
        <v>2.16</v>
      </c>
      <c r="N111" s="1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61">
        <f>_xlfn.IFS(TableBets[[#This Row],[Win]]="Won",TableBets[[#This Row],[Stake]]*(TableBets[[#This Row],[Odds]]-1),AND(TableBets[[#This Row],[Win]]="Lost",TableBets[[#This Row],[BB]]&lt;&gt;"Y"),-TableBets[[#This Row],[Stake]],TableBets[[#This Row],[Win]]="Sold",-TableBets[[#This Row],[Stake]]+TableBets[[#This Row],[Sold for]],TRUE,0)</f>
        <v>3.4000000000000004</v>
      </c>
      <c r="N112" s="1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61">
        <f>_xlfn.IFS(TableBets[[#This Row],[Win]]="Won",TableBets[[#This Row],[Stake]]*(TableBets[[#This Row],[Odds]]-1),AND(TableBets[[#This Row],[Win]]="Lost",TableBets[[#This Row],[BB]]&lt;&gt;"Y"),-TableBets[[#This Row],[Stake]],TableBets[[#This Row],[Win]]="Sold",-TableBets[[#This Row],[Stake]]+TableBets[[#This Row],[Sold for]],TRUE,0)</f>
        <v>2</v>
      </c>
      <c r="N113" s="1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61">
        <f>_xlfn.IFS(TableBets[[#This Row],[Win]]="Won",TableBets[[#This Row],[Stake]]*(TableBets[[#This Row],[Odds]]-1),AND(TableBets[[#This Row],[Win]]="Lost",TableBets[[#This Row],[BB]]&lt;&gt;"Y"),-TableBets[[#This Row],[Stake]],TableBets[[#This Row],[Win]]="Sold",-TableBets[[#This Row],[Stake]]+TableBets[[#This Row],[Sold for]],TRUE,0)</f>
        <v>-4</v>
      </c>
      <c r="N114" s="1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61">
        <f>_xlfn.IFS(TableBets[[#This Row],[Win]]="Won",TableBets[[#This Row],[Stake]]*(TableBets[[#This Row],[Odds]]-1),AND(TableBets[[#This Row],[Win]]="Lost",TableBets[[#This Row],[BB]]&lt;&gt;"Y"),-TableBets[[#This Row],[Stake]],TableBets[[#This Row],[Win]]="Sold",-TableBets[[#This Row],[Stake]]+TableBets[[#This Row],[Sold for]],TRUE,0)</f>
        <v>1.96</v>
      </c>
      <c r="N115" s="1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61">
        <f>_xlfn.IFS(TableBets[[#This Row],[Win]]="Won",TableBets[[#This Row],[Stake]]*(TableBets[[#This Row],[Odds]]-1),AND(TableBets[[#This Row],[Win]]="Lost",TableBets[[#This Row],[BB]]&lt;&gt;"Y"),-TableBets[[#This Row],[Stake]],TableBets[[#This Row],[Win]]="Sold",-TableBets[[#This Row],[Stake]]+TableBets[[#This Row],[Sold for]],TRUE,0)</f>
        <v>3.3000000000000003</v>
      </c>
      <c r="N116" s="1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61">
        <f>_xlfn.IFS(TableBets[[#This Row],[Win]]="Won",TableBets[[#This Row],[Stake]]*(TableBets[[#This Row],[Odds]]-1),AND(TableBets[[#This Row],[Win]]="Lost",TableBets[[#This Row],[BB]]&lt;&gt;"Y"),-TableBets[[#This Row],[Stake]],TableBets[[#This Row],[Win]]="Sold",-TableBets[[#This Row],[Stake]]+TableBets[[#This Row],[Sold for]],TRUE,0)</f>
        <v>2.6319999999999997</v>
      </c>
      <c r="N117" s="1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61">
        <f>_xlfn.IFS(TableBets[[#This Row],[Win]]="Won",TableBets[[#This Row],[Stake]]*(TableBets[[#This Row],[Odds]]-1),AND(TableBets[[#This Row],[Win]]="Lost",TableBets[[#This Row],[BB]]&lt;&gt;"Y"),-TableBets[[#This Row],[Stake]],TableBets[[#This Row],[Win]]="Sold",-TableBets[[#This Row],[Stake]]+TableBets[[#This Row],[Sold for]],TRUE,0)</f>
        <v>-4</v>
      </c>
      <c r="N118" s="1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61">
        <f>_xlfn.IFS(TableBets[[#This Row],[Win]]="Won",TableBets[[#This Row],[Stake]]*(TableBets[[#This Row],[Odds]]-1),AND(TableBets[[#This Row],[Win]]="Lost",TableBets[[#This Row],[BB]]&lt;&gt;"Y"),-TableBets[[#This Row],[Stake]],TableBets[[#This Row],[Win]]="Sold",-TableBets[[#This Row],[Stake]]+TableBets[[#This Row],[Sold for]],TRUE,0)</f>
        <v>2.12</v>
      </c>
      <c r="N119" s="1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61">
        <f>_xlfn.IFS(TableBets[[#This Row],[Win]]="Won",TableBets[[#This Row],[Stake]]*(TableBets[[#This Row],[Odds]]-1),AND(TableBets[[#This Row],[Win]]="Lost",TableBets[[#This Row],[BB]]&lt;&gt;"Y"),-TableBets[[#This Row],[Stake]],TableBets[[#This Row],[Win]]="Sold",-TableBets[[#This Row],[Stake]]+TableBets[[#This Row],[Sold for]],TRUE,0)</f>
        <v>-4</v>
      </c>
      <c r="N120" s="1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61">
        <f>_xlfn.IFS(TableBets[[#This Row],[Win]]="Won",TableBets[[#This Row],[Stake]]*(TableBets[[#This Row],[Odds]]-1),AND(TableBets[[#This Row],[Win]]="Lost",TableBets[[#This Row],[BB]]&lt;&gt;"Y"),-TableBets[[#This Row],[Stake]],TableBets[[#This Row],[Win]]="Sold",-TableBets[[#This Row],[Stake]]+TableBets[[#This Row],[Sold for]],TRUE,0)</f>
        <v>1.6399999999999997</v>
      </c>
      <c r="N121" s="1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61">
        <f>_xlfn.IFS(TableBets[[#This Row],[Win]]="Won",TableBets[[#This Row],[Stake]]*(TableBets[[#This Row],[Odds]]-1),AND(TableBets[[#This Row],[Win]]="Lost",TableBets[[#This Row],[BB]]&lt;&gt;"Y"),-TableBets[[#This Row],[Stake]],TableBets[[#This Row],[Win]]="Sold",-TableBets[[#This Row],[Stake]]+TableBets[[#This Row],[Sold for]],TRUE,0)</f>
        <v>1.88</v>
      </c>
      <c r="N122" s="1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61">
        <f>_xlfn.IFS(TableBets[[#This Row],[Win]]="Won",TableBets[[#This Row],[Stake]]*(TableBets[[#This Row],[Odds]]-1),AND(TableBets[[#This Row],[Win]]="Lost",TableBets[[#This Row],[BB]]&lt;&gt;"Y"),-TableBets[[#This Row],[Stake]],TableBets[[#This Row],[Win]]="Sold",-TableBets[[#This Row],[Stake]]+TableBets[[#This Row],[Sold for]],TRUE,0)</f>
        <v>1.2400000000000002</v>
      </c>
      <c r="N123" s="1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61">
        <f>_xlfn.IFS(TableBets[[#This Row],[Win]]="Won",TableBets[[#This Row],[Stake]]*(TableBets[[#This Row],[Odds]]-1),AND(TableBets[[#This Row],[Win]]="Lost",TableBets[[#This Row],[BB]]&lt;&gt;"Y"),-TableBets[[#This Row],[Stake]],TableBets[[#This Row],[Win]]="Sold",-TableBets[[#This Row],[Stake]]+TableBets[[#This Row],[Sold for]],TRUE,0)</f>
        <v>-4</v>
      </c>
      <c r="N124" s="1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61">
        <f>_xlfn.IFS(TableBets[[#This Row],[Win]]="Won",TableBets[[#This Row],[Stake]]*(TableBets[[#This Row],[Odds]]-1),AND(TableBets[[#This Row],[Win]]="Lost",TableBets[[#This Row],[BB]]&lt;&gt;"Y"),-TableBets[[#This Row],[Stake]],TableBets[[#This Row],[Win]]="Sold",-TableBets[[#This Row],[Stake]]+TableBets[[#This Row],[Sold for]],TRUE,0)</f>
        <v>1.92</v>
      </c>
      <c r="N125" s="1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61">
        <f>_xlfn.IFS(TableBets[[#This Row],[Win]]="Won",TableBets[[#This Row],[Stake]]*(TableBets[[#This Row],[Odds]]-1),AND(TableBets[[#This Row],[Win]]="Lost",TableBets[[#This Row],[BB]]&lt;&gt;"Y"),-TableBets[[#This Row],[Stake]],TableBets[[#This Row],[Win]]="Sold",-TableBets[[#This Row],[Stake]]+TableBets[[#This Row],[Sold for]],TRUE,0)</f>
        <v>3.9479999999999995</v>
      </c>
      <c r="N126" s="1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61">
        <f>_xlfn.IFS(TableBets[[#This Row],[Win]]="Won",TableBets[[#This Row],[Stake]]*(TableBets[[#This Row],[Odds]]-1),AND(TableBets[[#This Row],[Win]]="Lost",TableBets[[#This Row],[BB]]&lt;&gt;"Y"),-TableBets[[#This Row],[Stake]],TableBets[[#This Row],[Win]]="Sold",-TableBets[[#This Row],[Stake]]+TableBets[[#This Row],[Sold for]],TRUE,0)</f>
        <v>-4</v>
      </c>
      <c r="N127" s="1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61">
        <f>_xlfn.IFS(TableBets[[#This Row],[Win]]="Won",TableBets[[#This Row],[Stake]]*(TableBets[[#This Row],[Odds]]-1),AND(TableBets[[#This Row],[Win]]="Lost",TableBets[[#This Row],[BB]]&lt;&gt;"Y"),-TableBets[[#This Row],[Stake]],TableBets[[#This Row],[Win]]="Sold",-TableBets[[#This Row],[Stake]]+TableBets[[#This Row],[Sold for]],TRUE,0)</f>
        <v>5.1199999999999992</v>
      </c>
      <c r="N128" s="1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61">
        <f>_xlfn.IFS(TableBets[[#This Row],[Win]]="Won",TableBets[[#This Row],[Stake]]*(TableBets[[#This Row],[Odds]]-1),AND(TableBets[[#This Row],[Win]]="Lost",TableBets[[#This Row],[BB]]&lt;&gt;"Y"),-TableBets[[#This Row],[Stake]],TableBets[[#This Row],[Win]]="Sold",-TableBets[[#This Row],[Stake]]+TableBets[[#This Row],[Sold for]],TRUE,0)</f>
        <v>2.5919999999999996</v>
      </c>
      <c r="N129" s="1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61">
        <f>_xlfn.IFS(TableBets[[#This Row],[Win]]="Won",TableBets[[#This Row],[Stake]]*(TableBets[[#This Row],[Odds]]-1),AND(TableBets[[#This Row],[Win]]="Lost",TableBets[[#This Row],[BB]]&lt;&gt;"Y"),-TableBets[[#This Row],[Stake]],TableBets[[#This Row],[Win]]="Sold",-TableBets[[#This Row],[Stake]]+TableBets[[#This Row],[Sold for]],TRUE,0)</f>
        <v>4.4800000000000004</v>
      </c>
      <c r="N130" s="1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61">
        <f>_xlfn.IFS(TableBets[[#This Row],[Win]]="Won",TableBets[[#This Row],[Stake]]*(TableBets[[#This Row],[Odds]]-1),AND(TableBets[[#This Row],[Win]]="Lost",TableBets[[#This Row],[BB]]&lt;&gt;"Y"),-TableBets[[#This Row],[Stake]],TableBets[[#This Row],[Win]]="Sold",-TableBets[[#This Row],[Stake]]+TableBets[[#This Row],[Sold for]],TRUE,0)</f>
        <v>2.92</v>
      </c>
      <c r="N131" s="1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61">
        <f>_xlfn.IFS(TableBets[[#This Row],[Win]]="Won",TableBets[[#This Row],[Stake]]*(TableBets[[#This Row],[Odds]]-1),AND(TableBets[[#This Row],[Win]]="Lost",TableBets[[#This Row],[BB]]&lt;&gt;"Y"),-TableBets[[#This Row],[Stake]],TableBets[[#This Row],[Win]]="Sold",-TableBets[[#This Row],[Stake]]+TableBets[[#This Row],[Sold for]],TRUE,0)</f>
        <v>-4</v>
      </c>
      <c r="N132" s="1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61">
        <f>_xlfn.IFS(TableBets[[#This Row],[Win]]="Won",TableBets[[#This Row],[Stake]]*(TableBets[[#This Row],[Odds]]-1),AND(TableBets[[#This Row],[Win]]="Lost",TableBets[[#This Row],[BB]]&lt;&gt;"Y"),-TableBets[[#This Row],[Stake]],TableBets[[#This Row],[Win]]="Sold",-TableBets[[#This Row],[Stake]]+TableBets[[#This Row],[Sold for]],TRUE,0)</f>
        <v>-4</v>
      </c>
      <c r="N133" s="1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61">
        <f>_xlfn.IFS(TableBets[[#This Row],[Win]]="Won",TableBets[[#This Row],[Stake]]*(TableBets[[#This Row],[Odds]]-1),AND(TableBets[[#This Row],[Win]]="Lost",TableBets[[#This Row],[BB]]&lt;&gt;"Y"),-TableBets[[#This Row],[Stake]],TableBets[[#This Row],[Win]]="Sold",-TableBets[[#This Row],[Stake]]+TableBets[[#This Row],[Sold for]],TRUE,0)</f>
        <v>-4</v>
      </c>
      <c r="N134" s="1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61">
        <f>_xlfn.IFS(TableBets[[#This Row],[Win]]="Won",TableBets[[#This Row],[Stake]]*(TableBets[[#This Row],[Odds]]-1),AND(TableBets[[#This Row],[Win]]="Lost",TableBets[[#This Row],[BB]]&lt;&gt;"Y"),-TableBets[[#This Row],[Stake]],TableBets[[#This Row],[Win]]="Sold",-TableBets[[#This Row],[Stake]]+TableBets[[#This Row],[Sold for]],TRUE,0)</f>
        <v>-4</v>
      </c>
      <c r="N135" s="1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61">
        <f>_xlfn.IFS(TableBets[[#This Row],[Win]]="Won",TableBets[[#This Row],[Stake]]*(TableBets[[#This Row],[Odds]]-1),AND(TableBets[[#This Row],[Win]]="Lost",TableBets[[#This Row],[BB]]&lt;&gt;"Y"),-TableBets[[#This Row],[Stake]],TableBets[[#This Row],[Win]]="Sold",-TableBets[[#This Row],[Stake]]+TableBets[[#This Row],[Sold for]],TRUE,0)</f>
        <v>-6</v>
      </c>
      <c r="N136" s="1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61">
        <f>_xlfn.IFS(TableBets[[#This Row],[Win]]="Won",TableBets[[#This Row],[Stake]]*(TableBets[[#This Row],[Odds]]-1),AND(TableBets[[#This Row],[Win]]="Lost",TableBets[[#This Row],[BB]]&lt;&gt;"Y"),-TableBets[[#This Row],[Stake]],TableBets[[#This Row],[Win]]="Sold",-TableBets[[#This Row],[Stake]]+TableBets[[#This Row],[Sold for]],TRUE,0)</f>
        <v>3.0299999999999994</v>
      </c>
      <c r="N137" s="1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61">
        <f>_xlfn.IFS(TableBets[[#This Row],[Win]]="Won",TableBets[[#This Row],[Stake]]*(TableBets[[#This Row],[Odds]]-1),AND(TableBets[[#This Row],[Win]]="Lost",TableBets[[#This Row],[BB]]&lt;&gt;"Y"),-TableBets[[#This Row],[Stake]],TableBets[[#This Row],[Win]]="Sold",-TableBets[[#This Row],[Stake]]+TableBets[[#This Row],[Sold for]],TRUE,0)</f>
        <v>2.3200000000000003</v>
      </c>
      <c r="N138" s="1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61">
        <f>_xlfn.IFS(TableBets[[#This Row],[Win]]="Won",TableBets[[#This Row],[Stake]]*(TableBets[[#This Row],[Odds]]-1),AND(TableBets[[#This Row],[Win]]="Lost",TableBets[[#This Row],[BB]]&lt;&gt;"Y"),-TableBets[[#This Row],[Stake]],TableBets[[#This Row],[Win]]="Sold",-TableBets[[#This Row],[Stake]]+TableBets[[#This Row],[Sold for]],TRUE,0)</f>
        <v>2.76</v>
      </c>
      <c r="N139" s="1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61">
        <f>_xlfn.IFS(TableBets[[#This Row],[Win]]="Won",TableBets[[#This Row],[Stake]]*(TableBets[[#This Row],[Odds]]-1),AND(TableBets[[#This Row],[Win]]="Lost",TableBets[[#This Row],[BB]]&lt;&gt;"Y"),-TableBets[[#This Row],[Stake]],TableBets[[#This Row],[Win]]="Sold",-TableBets[[#This Row],[Stake]]+TableBets[[#This Row],[Sold for]],TRUE,0)</f>
        <v>1.96</v>
      </c>
      <c r="N140" s="1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61">
        <f>_xlfn.IFS(TableBets[[#This Row],[Win]]="Won",TableBets[[#This Row],[Stake]]*(TableBets[[#This Row],[Odds]]-1),AND(TableBets[[#This Row],[Win]]="Lost",TableBets[[#This Row],[BB]]&lt;&gt;"Y"),-TableBets[[#This Row],[Stake]],TableBets[[#This Row],[Win]]="Sold",-TableBets[[#This Row],[Stake]]+TableBets[[#This Row],[Sold for]],TRUE,0)</f>
        <v>-4</v>
      </c>
      <c r="N141" s="1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61">
        <f>_xlfn.IFS(TableBets[[#This Row],[Win]]="Won",TableBets[[#This Row],[Stake]]*(TableBets[[#This Row],[Odds]]-1),AND(TableBets[[#This Row],[Win]]="Lost",TableBets[[#This Row],[BB]]&lt;&gt;"Y"),-TableBets[[#This Row],[Stake]],TableBets[[#This Row],[Win]]="Sold",-TableBets[[#This Row],[Stake]]+TableBets[[#This Row],[Sold for]],TRUE,0)</f>
        <v>-4</v>
      </c>
      <c r="N142" s="1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61">
        <f>_xlfn.IFS(TableBets[[#This Row],[Win]]="Won",TableBets[[#This Row],[Stake]]*(TableBets[[#This Row],[Odds]]-1),AND(TableBets[[#This Row],[Win]]="Lost",TableBets[[#This Row],[BB]]&lt;&gt;"Y"),-TableBets[[#This Row],[Stake]],TableBets[[#This Row],[Win]]="Sold",-TableBets[[#This Row],[Stake]]+TableBets[[#This Row],[Sold for]],TRUE,0)</f>
        <v>2.3399999999999994</v>
      </c>
      <c r="N143" s="1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61">
        <f>_xlfn.IFS(TableBets[[#This Row],[Win]]="Won",TableBets[[#This Row],[Stake]]*(TableBets[[#This Row],[Odds]]-1),AND(TableBets[[#This Row],[Win]]="Lost",TableBets[[#This Row],[BB]]&lt;&gt;"Y"),-TableBets[[#This Row],[Stake]],TableBets[[#This Row],[Win]]="Sold",-TableBets[[#This Row],[Stake]]+TableBets[[#This Row],[Sold for]],TRUE,0)</f>
        <v>-6</v>
      </c>
      <c r="N144" s="1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61">
        <f>_xlfn.IFS(TableBets[[#This Row],[Win]]="Won",TableBets[[#This Row],[Stake]]*(TableBets[[#This Row],[Odds]]-1),AND(TableBets[[#This Row],[Win]]="Lost",TableBets[[#This Row],[BB]]&lt;&gt;"Y"),-TableBets[[#This Row],[Stake]],TableBets[[#This Row],[Win]]="Sold",-TableBets[[#This Row],[Stake]]+TableBets[[#This Row],[Sold for]],TRUE,0)</f>
        <v>-6</v>
      </c>
      <c r="N145" s="1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61">
        <f>_xlfn.IFS(TableBets[[#This Row],[Win]]="Won",TableBets[[#This Row],[Stake]]*(TableBets[[#This Row],[Odds]]-1),AND(TableBets[[#This Row],[Win]]="Lost",TableBets[[#This Row],[BB]]&lt;&gt;"Y"),-TableBets[[#This Row],[Stake]],TableBets[[#This Row],[Win]]="Sold",-TableBets[[#This Row],[Stake]]+TableBets[[#This Row],[Sold for]],TRUE,0)</f>
        <v>-8</v>
      </c>
      <c r="N146" s="1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61">
        <f>_xlfn.IFS(TableBets[[#This Row],[Win]]="Won",TableBets[[#This Row],[Stake]]*(TableBets[[#This Row],[Odds]]-1),AND(TableBets[[#This Row],[Win]]="Lost",TableBets[[#This Row],[BB]]&lt;&gt;"Y"),-TableBets[[#This Row],[Stake]],TableBets[[#This Row],[Win]]="Sold",-TableBets[[#This Row],[Stake]]+TableBets[[#This Row],[Sold for]],TRUE,0)</f>
        <v>-9.07</v>
      </c>
      <c r="N147" s="1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61">
        <f>_xlfn.IFS(TableBets[[#This Row],[Win]]="Won",TableBets[[#This Row],[Stake]]*(TableBets[[#This Row],[Odds]]-1),AND(TableBets[[#This Row],[Win]]="Lost",TableBets[[#This Row],[BB]]&lt;&gt;"Y"),-TableBets[[#This Row],[Stake]],TableBets[[#This Row],[Win]]="Sold",-TableBets[[#This Row],[Stake]]+TableBets[[#This Row],[Sold for]],TRUE,0)</f>
        <v>1.5599999999999996</v>
      </c>
      <c r="N148" s="1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61">
        <f>_xlfn.IFS(TableBets[[#This Row],[Win]]="Won",TableBets[[#This Row],[Stake]]*(TableBets[[#This Row],[Odds]]-1),AND(TableBets[[#This Row],[Win]]="Lost",TableBets[[#This Row],[BB]]&lt;&gt;"Y"),-TableBets[[#This Row],[Stake]],TableBets[[#This Row],[Win]]="Sold",-TableBets[[#This Row],[Stake]]+TableBets[[#This Row],[Sold for]],TRUE,0)</f>
        <v>2.4400000000000004</v>
      </c>
      <c r="N149" s="1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61">
        <f>_xlfn.IFS(TableBets[[#This Row],[Win]]="Won",TableBets[[#This Row],[Stake]]*(TableBets[[#This Row],[Odds]]-1),AND(TableBets[[#This Row],[Win]]="Lost",TableBets[[#This Row],[BB]]&lt;&gt;"Y"),-TableBets[[#This Row],[Stake]],TableBets[[#This Row],[Win]]="Sold",-TableBets[[#This Row],[Stake]]+TableBets[[#This Row],[Sold for]],TRUE,0)</f>
        <v>0</v>
      </c>
      <c r="N150" s="1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61">
        <f>_xlfn.IFS(TableBets[[#This Row],[Win]]="Won",TableBets[[#This Row],[Stake]]*(TableBets[[#This Row],[Odds]]-1),AND(TableBets[[#This Row],[Win]]="Lost",TableBets[[#This Row],[BB]]&lt;&gt;"Y"),-TableBets[[#This Row],[Stake]],TableBets[[#This Row],[Win]]="Sold",-TableBets[[#This Row],[Stake]]+TableBets[[#This Row],[Sold for]],TRUE,0)</f>
        <v>4.4800000000000004</v>
      </c>
      <c r="N151" s="1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61">
        <f>_xlfn.IFS(TableBets[[#This Row],[Win]]="Won",TableBets[[#This Row],[Stake]]*(TableBets[[#This Row],[Odds]]-1),AND(TableBets[[#This Row],[Win]]="Lost",TableBets[[#This Row],[BB]]&lt;&gt;"Y"),-TableBets[[#This Row],[Stake]],TableBets[[#This Row],[Win]]="Sold",-TableBets[[#This Row],[Stake]]+TableBets[[#This Row],[Sold for]],TRUE,0)</f>
        <v>2.4800000000000004</v>
      </c>
      <c r="N152" s="1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61">
        <f>_xlfn.IFS(TableBets[[#This Row],[Win]]="Won",TableBets[[#This Row],[Stake]]*(TableBets[[#This Row],[Odds]]-1),AND(TableBets[[#This Row],[Win]]="Lost",TableBets[[#This Row],[BB]]&lt;&gt;"Y"),-TableBets[[#This Row],[Stake]],TableBets[[#This Row],[Win]]="Sold",-TableBets[[#This Row],[Stake]]+TableBets[[#This Row],[Sold for]],TRUE,0)</f>
        <v>-4</v>
      </c>
      <c r="N153" s="1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61">
        <f>_xlfn.IFS(TableBets[[#This Row],[Win]]="Won",TableBets[[#This Row],[Stake]]*(TableBets[[#This Row],[Odds]]-1),AND(TableBets[[#This Row],[Win]]="Lost",TableBets[[#This Row],[BB]]&lt;&gt;"Y"),-TableBets[[#This Row],[Stake]],TableBets[[#This Row],[Win]]="Sold",-TableBets[[#This Row],[Stake]]+TableBets[[#This Row],[Sold for]],TRUE,0)</f>
        <v>0</v>
      </c>
      <c r="N154" s="1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61">
        <f>_xlfn.IFS(TableBets[[#This Row],[Win]]="Won",TableBets[[#This Row],[Stake]]*(TableBets[[#This Row],[Odds]]-1),AND(TableBets[[#This Row],[Win]]="Lost",TableBets[[#This Row],[BB]]&lt;&gt;"Y"),-TableBets[[#This Row],[Stake]],TableBets[[#This Row],[Win]]="Sold",-TableBets[[#This Row],[Stake]]+TableBets[[#This Row],[Sold for]],TRUE,0)</f>
        <v>2.16</v>
      </c>
      <c r="N155" s="1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61">
        <f>_xlfn.IFS(TableBets[[#This Row],[Win]]="Won",TableBets[[#This Row],[Stake]]*(TableBets[[#This Row],[Odds]]-1),AND(TableBets[[#This Row],[Win]]="Lost",TableBets[[#This Row],[BB]]&lt;&gt;"Y"),-TableBets[[#This Row],[Stake]],TableBets[[#This Row],[Win]]="Sold",-TableBets[[#This Row],[Stake]]+TableBets[[#This Row],[Sold for]],TRUE,0)</f>
        <v>2.3200000000000003</v>
      </c>
      <c r="N156" s="1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61">
        <f>_xlfn.IFS(TableBets[[#This Row],[Win]]="Won",TableBets[[#This Row],[Stake]]*(TableBets[[#This Row],[Odds]]-1),AND(TableBets[[#This Row],[Win]]="Lost",TableBets[[#This Row],[BB]]&lt;&gt;"Y"),-TableBets[[#This Row],[Stake]],TableBets[[#This Row],[Win]]="Sold",-TableBets[[#This Row],[Stake]]+TableBets[[#This Row],[Sold for]],TRUE,0)</f>
        <v>-4</v>
      </c>
      <c r="N157" s="1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61">
        <f>_xlfn.IFS(TableBets[[#This Row],[Win]]="Won",TableBets[[#This Row],[Stake]]*(TableBets[[#This Row],[Odds]]-1),AND(TableBets[[#This Row],[Win]]="Lost",TableBets[[#This Row],[BB]]&lt;&gt;"Y"),-TableBets[[#This Row],[Stake]],TableBets[[#This Row],[Win]]="Sold",-TableBets[[#This Row],[Stake]]+TableBets[[#This Row],[Sold for]],TRUE,0)</f>
        <v>-4</v>
      </c>
      <c r="N158" s="1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61">
        <f>_xlfn.IFS(TableBets[[#This Row],[Win]]="Won",TableBets[[#This Row],[Stake]]*(TableBets[[#This Row],[Odds]]-1),AND(TableBets[[#This Row],[Win]]="Lost",TableBets[[#This Row],[BB]]&lt;&gt;"Y"),-TableBets[[#This Row],[Stake]],TableBets[[#This Row],[Win]]="Sold",-TableBets[[#This Row],[Stake]]+TableBets[[#This Row],[Sold for]],TRUE,0)</f>
        <v>-4</v>
      </c>
      <c r="N159" s="1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61">
        <f>_xlfn.IFS(TableBets[[#This Row],[Win]]="Won",TableBets[[#This Row],[Stake]]*(TableBets[[#This Row],[Odds]]-1),AND(TableBets[[#This Row],[Win]]="Lost",TableBets[[#This Row],[BB]]&lt;&gt;"Y"),-TableBets[[#This Row],[Stake]],TableBets[[#This Row],[Win]]="Sold",-TableBets[[#This Row],[Stake]]+TableBets[[#This Row],[Sold for]],TRUE,0)</f>
        <v>1.5199999999999996</v>
      </c>
      <c r="N160" s="1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61">
        <f>_xlfn.IFS(TableBets[[#This Row],[Win]]="Won",TableBets[[#This Row],[Stake]]*(TableBets[[#This Row],[Odds]]-1),AND(TableBets[[#This Row],[Win]]="Lost",TableBets[[#This Row],[BB]]&lt;&gt;"Y"),-TableBets[[#This Row],[Stake]],TableBets[[#This Row],[Win]]="Sold",-TableBets[[#This Row],[Stake]]+TableBets[[#This Row],[Sold for]],TRUE,0)</f>
        <v>-4</v>
      </c>
      <c r="N161" s="1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61">
        <f>_xlfn.IFS(TableBets[[#This Row],[Win]]="Won",TableBets[[#This Row],[Stake]]*(TableBets[[#This Row],[Odds]]-1),AND(TableBets[[#This Row],[Win]]="Lost",TableBets[[#This Row],[BB]]&lt;&gt;"Y"),-TableBets[[#This Row],[Stake]],TableBets[[#This Row],[Win]]="Sold",-TableBets[[#This Row],[Stake]]+TableBets[[#This Row],[Sold for]],TRUE,0)</f>
        <v>1.6600000000000001</v>
      </c>
      <c r="N162" s="1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61">
        <f>_xlfn.IFS(TableBets[[#This Row],[Win]]="Won",TableBets[[#This Row],[Stake]]*(TableBets[[#This Row],[Odds]]-1),AND(TableBets[[#This Row],[Win]]="Lost",TableBets[[#This Row],[BB]]&lt;&gt;"Y"),-TableBets[[#This Row],[Stake]],TableBets[[#This Row],[Win]]="Sold",-TableBets[[#This Row],[Stake]]+TableBets[[#This Row],[Sold for]],TRUE,0)</f>
        <v>-4</v>
      </c>
      <c r="N163" s="1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61">
        <f>_xlfn.IFS(TableBets[[#This Row],[Win]]="Won",TableBets[[#This Row],[Stake]]*(TableBets[[#This Row],[Odds]]-1),AND(TableBets[[#This Row],[Win]]="Lost",TableBets[[#This Row],[BB]]&lt;&gt;"Y"),-TableBets[[#This Row],[Stake]],TableBets[[#This Row],[Win]]="Sold",-TableBets[[#This Row],[Stake]]+TableBets[[#This Row],[Sold for]],TRUE,0)</f>
        <v>1.96</v>
      </c>
      <c r="N164" s="1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61">
        <f>_xlfn.IFS(TableBets[[#This Row],[Win]]="Won",TableBets[[#This Row],[Stake]]*(TableBets[[#This Row],[Odds]]-1),AND(TableBets[[#This Row],[Win]]="Lost",TableBets[[#This Row],[BB]]&lt;&gt;"Y"),-TableBets[[#This Row],[Stake]],TableBets[[#This Row],[Win]]="Sold",-TableBets[[#This Row],[Stake]]+TableBets[[#This Row],[Sold for]],TRUE,0)</f>
        <v>-4</v>
      </c>
      <c r="N165" s="1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61">
        <f>_xlfn.IFS(TableBets[[#This Row],[Win]]="Won",TableBets[[#This Row],[Stake]]*(TableBets[[#This Row],[Odds]]-1),AND(TableBets[[#This Row],[Win]]="Lost",TableBets[[#This Row],[BB]]&lt;&gt;"Y"),-TableBets[[#This Row],[Stake]],TableBets[[#This Row],[Win]]="Sold",-TableBets[[#This Row],[Stake]]+TableBets[[#This Row],[Sold for]],TRUE,0)</f>
        <v>6.7520000000000007</v>
      </c>
      <c r="N166" s="1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61">
        <f>_xlfn.IFS(TableBets[[#This Row],[Win]]="Won",TableBets[[#This Row],[Stake]]*(TableBets[[#This Row],[Odds]]-1),AND(TableBets[[#This Row],[Win]]="Lost",TableBets[[#This Row],[BB]]&lt;&gt;"Y"),-TableBets[[#This Row],[Stake]],TableBets[[#This Row],[Win]]="Sold",-TableBets[[#This Row],[Stake]]+TableBets[[#This Row],[Sold for]],TRUE,0)</f>
        <v>4.9600000000000009</v>
      </c>
      <c r="N167" s="1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61">
        <f>_xlfn.IFS(TableBets[[#This Row],[Win]]="Won",TableBets[[#This Row],[Stake]]*(TableBets[[#This Row],[Odds]]-1),AND(TableBets[[#This Row],[Win]]="Lost",TableBets[[#This Row],[BB]]&lt;&gt;"Y"),-TableBets[[#This Row],[Stake]],TableBets[[#This Row],[Win]]="Sold",-TableBets[[#This Row],[Stake]]+TableBets[[#This Row],[Sold for]],TRUE,0)</f>
        <v>-4</v>
      </c>
      <c r="N168" s="1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61">
        <f>_xlfn.IFS(TableBets[[#This Row],[Win]]="Won",TableBets[[#This Row],[Stake]]*(TableBets[[#This Row],[Odds]]-1),AND(TableBets[[#This Row],[Win]]="Lost",TableBets[[#This Row],[BB]]&lt;&gt;"Y"),-TableBets[[#This Row],[Stake]],TableBets[[#This Row],[Win]]="Sold",-TableBets[[#This Row],[Stake]]+TableBets[[#This Row],[Sold for]],TRUE,0)</f>
        <v>4.32</v>
      </c>
      <c r="N169" s="1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61">
        <f>_xlfn.IFS(TableBets[[#This Row],[Win]]="Won",TableBets[[#This Row],[Stake]]*(TableBets[[#This Row],[Odds]]-1),AND(TableBets[[#This Row],[Win]]="Lost",TableBets[[#This Row],[BB]]&lt;&gt;"Y"),-TableBets[[#This Row],[Stake]],TableBets[[#This Row],[Win]]="Sold",-TableBets[[#This Row],[Stake]]+TableBets[[#This Row],[Sold for]],TRUE,0)</f>
        <v>3.84</v>
      </c>
      <c r="N170" s="1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61">
        <f>_xlfn.IFS(TableBets[[#This Row],[Win]]="Won",TableBets[[#This Row],[Stake]]*(TableBets[[#This Row],[Odds]]-1),AND(TableBets[[#This Row],[Win]]="Lost",TableBets[[#This Row],[BB]]&lt;&gt;"Y"),-TableBets[[#This Row],[Stake]],TableBets[[#This Row],[Win]]="Sold",-TableBets[[#This Row],[Stake]]+TableBets[[#This Row],[Sold for]],TRUE,0)</f>
        <v>2.2000000000000002</v>
      </c>
      <c r="N171" s="1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61">
        <f>_xlfn.IFS(TableBets[[#This Row],[Win]]="Won",TableBets[[#This Row],[Stake]]*(TableBets[[#This Row],[Odds]]-1),AND(TableBets[[#This Row],[Win]]="Lost",TableBets[[#This Row],[BB]]&lt;&gt;"Y"),-TableBets[[#This Row],[Stake]],TableBets[[#This Row],[Win]]="Sold",-TableBets[[#This Row],[Stake]]+TableBets[[#This Row],[Sold for]],TRUE,0)</f>
        <v>1.8399999999999999</v>
      </c>
      <c r="N172" s="1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61">
        <f>_xlfn.IFS(TableBets[[#This Row],[Win]]="Won",TableBets[[#This Row],[Stake]]*(TableBets[[#This Row],[Odds]]-1),AND(TableBets[[#This Row],[Win]]="Lost",TableBets[[#This Row],[BB]]&lt;&gt;"Y"),-TableBets[[#This Row],[Stake]],TableBets[[#This Row],[Win]]="Sold",-TableBets[[#This Row],[Stake]]+TableBets[[#This Row],[Sold for]],TRUE,0)</f>
        <v>3.84</v>
      </c>
      <c r="N173" s="1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61">
        <f>_xlfn.IFS(TableBets[[#This Row],[Win]]="Won",TableBets[[#This Row],[Stake]]*(TableBets[[#This Row],[Odds]]-1),AND(TableBets[[#This Row],[Win]]="Lost",TableBets[[#This Row],[BB]]&lt;&gt;"Y"),-TableBets[[#This Row],[Stake]],TableBets[[#This Row],[Win]]="Sold",-TableBets[[#This Row],[Stake]]+TableBets[[#This Row],[Sold for]],TRUE,0)</f>
        <v>4.76</v>
      </c>
      <c r="N174" s="1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61">
        <f>_xlfn.IFS(TableBets[[#This Row],[Win]]="Won",TableBets[[#This Row],[Stake]]*(TableBets[[#This Row],[Odds]]-1),AND(TableBets[[#This Row],[Win]]="Lost",TableBets[[#This Row],[BB]]&lt;&gt;"Y"),-TableBets[[#This Row],[Stake]],TableBets[[#This Row],[Win]]="Sold",-TableBets[[#This Row],[Stake]]+TableBets[[#This Row],[Sold for]],TRUE,0)</f>
        <v>1.9039999999999999</v>
      </c>
      <c r="N175" s="1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61">
        <f>_xlfn.IFS(TableBets[[#This Row],[Win]]="Won",TableBets[[#This Row],[Stake]]*(TableBets[[#This Row],[Odds]]-1),AND(TableBets[[#This Row],[Win]]="Lost",TableBets[[#This Row],[BB]]&lt;&gt;"Y"),-TableBets[[#This Row],[Stake]],TableBets[[#This Row],[Win]]="Sold",-TableBets[[#This Row],[Stake]]+TableBets[[#This Row],[Sold for]],TRUE,0)</f>
        <v>3.08</v>
      </c>
      <c r="N176" s="1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61">
        <f>_xlfn.IFS(TableBets[[#This Row],[Win]]="Won",TableBets[[#This Row],[Stake]]*(TableBets[[#This Row],[Odds]]-1),AND(TableBets[[#This Row],[Win]]="Lost",TableBets[[#This Row],[BB]]&lt;&gt;"Y"),-TableBets[[#This Row],[Stake]],TableBets[[#This Row],[Win]]="Sold",-TableBets[[#This Row],[Stake]]+TableBets[[#This Row],[Sold for]],TRUE,0)</f>
        <v>2.2240000000000002</v>
      </c>
      <c r="N177" s="1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61">
        <f>_xlfn.IFS(TableBets[[#This Row],[Win]]="Won",TableBets[[#This Row],[Stake]]*(TableBets[[#This Row],[Odds]]-1),AND(TableBets[[#This Row],[Win]]="Lost",TableBets[[#This Row],[BB]]&lt;&gt;"Y"),-TableBets[[#This Row],[Stake]],TableBets[[#This Row],[Win]]="Sold",-TableBets[[#This Row],[Stake]]+TableBets[[#This Row],[Sold for]],TRUE,0)</f>
        <v>1.88</v>
      </c>
      <c r="N178" s="1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61">
        <f>_xlfn.IFS(TableBets[[#This Row],[Win]]="Won",TableBets[[#This Row],[Stake]]*(TableBets[[#This Row],[Odds]]-1),AND(TableBets[[#This Row],[Win]]="Lost",TableBets[[#This Row],[BB]]&lt;&gt;"Y"),-TableBets[[#This Row],[Stake]],TableBets[[#This Row],[Win]]="Sold",-TableBets[[#This Row],[Stake]]+TableBets[[#This Row],[Sold for]],TRUE,0)</f>
        <v>2.7199999999999998</v>
      </c>
      <c r="N179" s="1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61">
        <f>_xlfn.IFS(TableBets[[#This Row],[Win]]="Won",TableBets[[#This Row],[Stake]]*(TableBets[[#This Row],[Odds]]-1),AND(TableBets[[#This Row],[Win]]="Lost",TableBets[[#This Row],[BB]]&lt;&gt;"Y"),-TableBets[[#This Row],[Stake]],TableBets[[#This Row],[Win]]="Sold",-TableBets[[#This Row],[Stake]]+TableBets[[#This Row],[Sold for]],TRUE,0)</f>
        <v>-4</v>
      </c>
      <c r="N180" s="1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61">
        <f>_xlfn.IFS(TableBets[[#This Row],[Win]]="Won",TableBets[[#This Row],[Stake]]*(TableBets[[#This Row],[Odds]]-1),AND(TableBets[[#This Row],[Win]]="Lost",TableBets[[#This Row],[BB]]&lt;&gt;"Y"),-TableBets[[#This Row],[Stake]],TableBets[[#This Row],[Win]]="Sold",-TableBets[[#This Row],[Stake]]+TableBets[[#This Row],[Sold for]],TRUE,0)</f>
        <v>1.4240000000000004</v>
      </c>
      <c r="N181" s="1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61">
        <f>_xlfn.IFS(TableBets[[#This Row],[Win]]="Won",TableBets[[#This Row],[Stake]]*(TableBets[[#This Row],[Odds]]-1),AND(TableBets[[#This Row],[Win]]="Lost",TableBets[[#This Row],[BB]]&lt;&gt;"Y"),-TableBets[[#This Row],[Stake]],TableBets[[#This Row],[Win]]="Sold",-TableBets[[#This Row],[Stake]]+TableBets[[#This Row],[Sold for]],TRUE,0)</f>
        <v>-4</v>
      </c>
      <c r="N182" s="1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61">
        <f>_xlfn.IFS(TableBets[[#This Row],[Win]]="Won",TableBets[[#This Row],[Stake]]*(TableBets[[#This Row],[Odds]]-1),AND(TableBets[[#This Row],[Win]]="Lost",TableBets[[#This Row],[BB]]&lt;&gt;"Y"),-TableBets[[#This Row],[Stake]],TableBets[[#This Row],[Win]]="Sold",-TableBets[[#This Row],[Stake]]+TableBets[[#This Row],[Sold for]],TRUE,0)</f>
        <v>3.0720000000000001</v>
      </c>
      <c r="N183" s="1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61">
        <f>_xlfn.IFS(TableBets[[#This Row],[Win]]="Won",TableBets[[#This Row],[Stake]]*(TableBets[[#This Row],[Odds]]-1),AND(TableBets[[#This Row],[Win]]="Lost",TableBets[[#This Row],[BB]]&lt;&gt;"Y"),-TableBets[[#This Row],[Stake]],TableBets[[#This Row],[Win]]="Sold",-TableBets[[#This Row],[Stake]]+TableBets[[#This Row],[Sold for]],TRUE,0)</f>
        <v>-4</v>
      </c>
      <c r="N184" s="1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61">
        <f>_xlfn.IFS(TableBets[[#This Row],[Win]]="Won",TableBets[[#This Row],[Stake]]*(TableBets[[#This Row],[Odds]]-1),AND(TableBets[[#This Row],[Win]]="Lost",TableBets[[#This Row],[BB]]&lt;&gt;"Y"),-TableBets[[#This Row],[Stake]],TableBets[[#This Row],[Win]]="Sold",-TableBets[[#This Row],[Stake]]+TableBets[[#This Row],[Sold for]],TRUE,0)</f>
        <v>-4</v>
      </c>
      <c r="N185" s="1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61">
        <f>_xlfn.IFS(TableBets[[#This Row],[Win]]="Won",TableBets[[#This Row],[Stake]]*(TableBets[[#This Row],[Odds]]-1),AND(TableBets[[#This Row],[Win]]="Lost",TableBets[[#This Row],[BB]]&lt;&gt;"Y"),-TableBets[[#This Row],[Stake]],TableBets[[#This Row],[Win]]="Sold",-TableBets[[#This Row],[Stake]]+TableBets[[#This Row],[Sold for]],TRUE,0)</f>
        <v>2.3200000000000003</v>
      </c>
      <c r="N186" s="1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61">
        <f>_xlfn.IFS(TableBets[[#This Row],[Win]]="Won",TableBets[[#This Row],[Stake]]*(TableBets[[#This Row],[Odds]]-1),AND(TableBets[[#This Row],[Win]]="Lost",TableBets[[#This Row],[BB]]&lt;&gt;"Y"),-TableBets[[#This Row],[Stake]],TableBets[[#This Row],[Win]]="Sold",-TableBets[[#This Row],[Stake]]+TableBets[[#This Row],[Sold for]],TRUE,0)</f>
        <v>2.76</v>
      </c>
      <c r="N187" s="1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61">
        <f>_xlfn.IFS(TableBets[[#This Row],[Win]]="Won",TableBets[[#This Row],[Stake]]*(TableBets[[#This Row],[Odds]]-1),AND(TableBets[[#This Row],[Win]]="Lost",TableBets[[#This Row],[BB]]&lt;&gt;"Y"),-TableBets[[#This Row],[Stake]],TableBets[[#This Row],[Win]]="Sold",-TableBets[[#This Row],[Stake]]+TableBets[[#This Row],[Sold for]],TRUE,0)</f>
        <v>-4</v>
      </c>
      <c r="N188" s="1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61">
        <f>_xlfn.IFS(TableBets[[#This Row],[Win]]="Won",TableBets[[#This Row],[Stake]]*(TableBets[[#This Row],[Odds]]-1),AND(TableBets[[#This Row],[Win]]="Lost",TableBets[[#This Row],[BB]]&lt;&gt;"Y"),-TableBets[[#This Row],[Stake]],TableBets[[#This Row],[Win]]="Sold",-TableBets[[#This Row],[Stake]]+TableBets[[#This Row],[Sold for]],TRUE,0)</f>
        <v>2.944</v>
      </c>
      <c r="N189" s="1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61">
        <f>_xlfn.IFS(TableBets[[#This Row],[Win]]="Won",TableBets[[#This Row],[Stake]]*(TableBets[[#This Row],[Odds]]-1),AND(TableBets[[#This Row],[Win]]="Lost",TableBets[[#This Row],[BB]]&lt;&gt;"Y"),-TableBets[[#This Row],[Stake]],TableBets[[#This Row],[Win]]="Sold",-TableBets[[#This Row],[Stake]]+TableBets[[#This Row],[Sold for]],TRUE,0)</f>
        <v>1.5199999999999996</v>
      </c>
      <c r="N190" s="1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61">
        <f>_xlfn.IFS(TableBets[[#This Row],[Win]]="Won",TableBets[[#This Row],[Stake]]*(TableBets[[#This Row],[Odds]]-1),AND(TableBets[[#This Row],[Win]]="Lost",TableBets[[#This Row],[BB]]&lt;&gt;"Y"),-TableBets[[#This Row],[Stake]],TableBets[[#This Row],[Win]]="Sold",-TableBets[[#This Row],[Stake]]+TableBets[[#This Row],[Sold for]],TRUE,0)</f>
        <v>2.2400000000000002</v>
      </c>
      <c r="N191" s="1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61">
        <f>_xlfn.IFS(TableBets[[#This Row],[Win]]="Won",TableBets[[#This Row],[Stake]]*(TableBets[[#This Row],[Odds]]-1),AND(TableBets[[#This Row],[Win]]="Lost",TableBets[[#This Row],[BB]]&lt;&gt;"Y"),-TableBets[[#This Row],[Stake]],TableBets[[#This Row],[Win]]="Sold",-TableBets[[#This Row],[Stake]]+TableBets[[#This Row],[Sold for]],TRUE,0)</f>
        <v>2.8</v>
      </c>
      <c r="N192" s="1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61">
        <f>_xlfn.IFS(TableBets[[#This Row],[Win]]="Won",TableBets[[#This Row],[Stake]]*(TableBets[[#This Row],[Odds]]-1),AND(TableBets[[#This Row],[Win]]="Lost",TableBets[[#This Row],[BB]]&lt;&gt;"Y"),-TableBets[[#This Row],[Stake]],TableBets[[#This Row],[Win]]="Sold",-TableBets[[#This Row],[Stake]]+TableBets[[#This Row],[Sold for]],TRUE,0)</f>
        <v>2.0960000000000001</v>
      </c>
      <c r="N193" s="1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61">
        <f>_xlfn.IFS(TableBets[[#This Row],[Win]]="Won",TableBets[[#This Row],[Stake]]*(TableBets[[#This Row],[Odds]]-1),AND(TableBets[[#This Row],[Win]]="Lost",TableBets[[#This Row],[BB]]&lt;&gt;"Y"),-TableBets[[#This Row],[Stake]],TableBets[[#This Row],[Win]]="Sold",-TableBets[[#This Row],[Stake]]+TableBets[[#This Row],[Sold for]],TRUE,0)</f>
        <v>2.3200000000000003</v>
      </c>
      <c r="N194" s="1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61">
        <f>_xlfn.IFS(TableBets[[#This Row],[Win]]="Won",TableBets[[#This Row],[Stake]]*(TableBets[[#This Row],[Odds]]-1),AND(TableBets[[#This Row],[Win]]="Lost",TableBets[[#This Row],[BB]]&lt;&gt;"Y"),-TableBets[[#This Row],[Stake]],TableBets[[#This Row],[Win]]="Sold",-TableBets[[#This Row],[Stake]]+TableBets[[#This Row],[Sold for]],TRUE,0)</f>
        <v>2</v>
      </c>
      <c r="N195" s="1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61">
        <f>_xlfn.IFS(TableBets[[#This Row],[Win]]="Won",TableBets[[#This Row],[Stake]]*(TableBets[[#This Row],[Odds]]-1),AND(TableBets[[#This Row],[Win]]="Lost",TableBets[[#This Row],[BB]]&lt;&gt;"Y"),-TableBets[[#This Row],[Stake]],TableBets[[#This Row],[Win]]="Sold",-TableBets[[#This Row],[Stake]]+TableBets[[#This Row],[Sold for]],TRUE,0)</f>
        <v>4.4800000000000004</v>
      </c>
      <c r="N196" s="1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61">
        <f>_xlfn.IFS(TableBets[[#This Row],[Win]]="Won",TableBets[[#This Row],[Stake]]*(TableBets[[#This Row],[Odds]]-1),AND(TableBets[[#This Row],[Win]]="Lost",TableBets[[#This Row],[BB]]&lt;&gt;"Y"),-TableBets[[#This Row],[Stake]],TableBets[[#This Row],[Win]]="Sold",-TableBets[[#This Row],[Stake]]+TableBets[[#This Row],[Sold for]],TRUE,0)</f>
        <v>-8</v>
      </c>
      <c r="N197" s="1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61">
        <f>_xlfn.IFS(TableBets[[#This Row],[Win]]="Won",TableBets[[#This Row],[Stake]]*(TableBets[[#This Row],[Odds]]-1),AND(TableBets[[#This Row],[Win]]="Lost",TableBets[[#This Row],[BB]]&lt;&gt;"Y"),-TableBets[[#This Row],[Stake]],TableBets[[#This Row],[Win]]="Sold",-TableBets[[#This Row],[Stake]]+TableBets[[#This Row],[Sold for]],TRUE,0)</f>
        <v>-4</v>
      </c>
      <c r="N198" s="1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61">
        <f>_xlfn.IFS(TableBets[[#This Row],[Win]]="Won",TableBets[[#This Row],[Stake]]*(TableBets[[#This Row],[Odds]]-1),AND(TableBets[[#This Row],[Win]]="Lost",TableBets[[#This Row],[BB]]&lt;&gt;"Y"),-TableBets[[#This Row],[Stake]],TableBets[[#This Row],[Win]]="Sold",-TableBets[[#This Row],[Stake]]+TableBets[[#This Row],[Sold for]],TRUE,0)</f>
        <v>-2</v>
      </c>
      <c r="N199" s="1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61">
        <f>_xlfn.IFS(TableBets[[#This Row],[Win]]="Won",TableBets[[#This Row],[Stake]]*(TableBets[[#This Row],[Odds]]-1),AND(TableBets[[#This Row],[Win]]="Lost",TableBets[[#This Row],[BB]]&lt;&gt;"Y"),-TableBets[[#This Row],[Stake]],TableBets[[#This Row],[Win]]="Sold",-TableBets[[#This Row],[Stake]]+TableBets[[#This Row],[Sold for]],TRUE,0)</f>
        <v>2.12</v>
      </c>
      <c r="N200" s="1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61">
        <f>_xlfn.IFS(TableBets[[#This Row],[Win]]="Won",TableBets[[#This Row],[Stake]]*(TableBets[[#This Row],[Odds]]-1),AND(TableBets[[#This Row],[Win]]="Lost",TableBets[[#This Row],[BB]]&lt;&gt;"Y"),-TableBets[[#This Row],[Stake]],TableBets[[#This Row],[Win]]="Sold",-TableBets[[#This Row],[Stake]]+TableBets[[#This Row],[Sold for]],TRUE,0)</f>
        <v>2.08</v>
      </c>
      <c r="N201" s="15"/>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61">
        <f>_xlfn.IFS(TableBets[[#This Row],[Win]]="Won",TableBets[[#This Row],[Stake]]*(TableBets[[#This Row],[Odds]]-1),AND(TableBets[[#This Row],[Win]]="Lost",TableBets[[#This Row],[BB]]&lt;&gt;"Y"),-TableBets[[#This Row],[Stake]],TableBets[[#This Row],[Win]]="Sold",-TableBets[[#This Row],[Stake]]+TableBets[[#This Row],[Sold for]],TRUE,0)</f>
        <v>2.76</v>
      </c>
      <c r="N202" s="15"/>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61">
        <f>_xlfn.IFS(TableBets[[#This Row],[Win]]="Won",TableBets[[#This Row],[Stake]]*(TableBets[[#This Row],[Odds]]-1),AND(TableBets[[#This Row],[Win]]="Lost",TableBets[[#This Row],[BB]]&lt;&gt;"Y"),-TableBets[[#This Row],[Stake]],TableBets[[#This Row],[Win]]="Sold",-TableBets[[#This Row],[Stake]]+TableBets[[#This Row],[Sold for]],TRUE,0)</f>
        <v>1.92</v>
      </c>
      <c r="N203" s="15"/>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61">
        <f>_xlfn.IFS(TableBets[[#This Row],[Win]]="Won",TableBets[[#This Row],[Stake]]*(TableBets[[#This Row],[Odds]]-1),AND(TableBets[[#This Row],[Win]]="Lost",TableBets[[#This Row],[BB]]&lt;&gt;"Y"),-TableBets[[#This Row],[Stake]],TableBets[[#This Row],[Win]]="Sold",-TableBets[[#This Row],[Stake]]+TableBets[[#This Row],[Sold for]],TRUE,0)</f>
        <v>2.8</v>
      </c>
      <c r="N204" s="15"/>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61">
        <f>_xlfn.IFS(TableBets[[#This Row],[Win]]="Won",TableBets[[#This Row],[Stake]]*(TableBets[[#This Row],[Odds]]-1),AND(TableBets[[#This Row],[Win]]="Lost",TableBets[[#This Row],[BB]]&lt;&gt;"Y"),-TableBets[[#This Row],[Stake]],TableBets[[#This Row],[Win]]="Sold",-TableBets[[#This Row],[Stake]]+TableBets[[#This Row],[Sold for]],TRUE,0)</f>
        <v>6.8000000000000007</v>
      </c>
      <c r="N205" s="15"/>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61">
        <f>_xlfn.IFS(TableBets[[#This Row],[Win]]="Won",TableBets[[#This Row],[Stake]]*(TableBets[[#This Row],[Odds]]-1),AND(TableBets[[#This Row],[Win]]="Lost",TableBets[[#This Row],[BB]]&lt;&gt;"Y"),-TableBets[[#This Row],[Stake]],TableBets[[#This Row],[Win]]="Sold",-TableBets[[#This Row],[Stake]]+TableBets[[#This Row],[Sold for]],TRUE,0)</f>
        <v>-4</v>
      </c>
      <c r="N206" s="15"/>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61">
        <f>_xlfn.IFS(TableBets[[#This Row],[Win]]="Won",TableBets[[#This Row],[Stake]]*(TableBets[[#This Row],[Odds]]-1),AND(TableBets[[#This Row],[Win]]="Lost",TableBets[[#This Row],[BB]]&lt;&gt;"Y"),-TableBets[[#This Row],[Stake]],TableBets[[#This Row],[Win]]="Sold",-TableBets[[#This Row],[Stake]]+TableBets[[#This Row],[Sold for]],TRUE,0)</f>
        <v>2.4320000000000004</v>
      </c>
      <c r="N207" s="15"/>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61">
        <f>_xlfn.IFS(TableBets[[#This Row],[Win]]="Won",TableBets[[#This Row],[Stake]]*(TableBets[[#This Row],[Odds]]-1),AND(TableBets[[#This Row],[Win]]="Lost",TableBets[[#This Row],[BB]]&lt;&gt;"Y"),-TableBets[[#This Row],[Stake]],TableBets[[#This Row],[Win]]="Sold",-TableBets[[#This Row],[Stake]]+TableBets[[#This Row],[Sold for]],TRUE,0)</f>
        <v>-4</v>
      </c>
      <c r="N208" s="15"/>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61">
        <f>_xlfn.IFS(TableBets[[#This Row],[Win]]="Won",TableBets[[#This Row],[Stake]]*(TableBets[[#This Row],[Odds]]-1),AND(TableBets[[#This Row],[Win]]="Lost",TableBets[[#This Row],[BB]]&lt;&gt;"Y"),-TableBets[[#This Row],[Stake]],TableBets[[#This Row],[Win]]="Sold",-TableBets[[#This Row],[Stake]]+TableBets[[#This Row],[Sold for]],TRUE,0)</f>
        <v>1.96</v>
      </c>
      <c r="N209" s="15"/>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61">
        <f>_xlfn.IFS(TableBets[[#This Row],[Win]]="Won",TableBets[[#This Row],[Stake]]*(TableBets[[#This Row],[Odds]]-1),AND(TableBets[[#This Row],[Win]]="Lost",TableBets[[#This Row],[BB]]&lt;&gt;"Y"),-TableBets[[#This Row],[Stake]],TableBets[[#This Row],[Win]]="Sold",-TableBets[[#This Row],[Stake]]+TableBets[[#This Row],[Sold for]],TRUE,0)</f>
        <v>2.5999999999999996</v>
      </c>
      <c r="N210" s="15"/>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61">
        <f>_xlfn.IFS(TableBets[[#This Row],[Win]]="Won",TableBets[[#This Row],[Stake]]*(TableBets[[#This Row],[Odds]]-1),AND(TableBets[[#This Row],[Win]]="Lost",TableBets[[#This Row],[BB]]&lt;&gt;"Y"),-TableBets[[#This Row],[Stake]],TableBets[[#This Row],[Win]]="Sold",-TableBets[[#This Row],[Stake]]+TableBets[[#This Row],[Sold for]],TRUE,0)</f>
        <v>3.4400000000000004</v>
      </c>
      <c r="N211" s="15"/>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61">
        <f>_xlfn.IFS(TableBets[[#This Row],[Win]]="Won",TableBets[[#This Row],[Stake]]*(TableBets[[#This Row],[Odds]]-1),AND(TableBets[[#This Row],[Win]]="Lost",TableBets[[#This Row],[BB]]&lt;&gt;"Y"),-TableBets[[#This Row],[Stake]],TableBets[[#This Row],[Win]]="Sold",-TableBets[[#This Row],[Stake]]+TableBets[[#This Row],[Sold for]],TRUE,0)</f>
        <v>2.08</v>
      </c>
      <c r="N212" s="15"/>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61">
        <f>_xlfn.IFS(TableBets[[#This Row],[Win]]="Won",TableBets[[#This Row],[Stake]]*(TableBets[[#This Row],[Odds]]-1),AND(TableBets[[#This Row],[Win]]="Lost",TableBets[[#This Row],[BB]]&lt;&gt;"Y"),-TableBets[[#This Row],[Stake]],TableBets[[#This Row],[Win]]="Sold",-TableBets[[#This Row],[Stake]]+TableBets[[#This Row],[Sold for]],TRUE,0)</f>
        <v>2.3600000000000003</v>
      </c>
      <c r="N213" s="15"/>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61">
        <f>_xlfn.IFS(TableBets[[#This Row],[Win]]="Won",TableBets[[#This Row],[Stake]]*(TableBets[[#This Row],[Odds]]-1),AND(TableBets[[#This Row],[Win]]="Lost",TableBets[[#This Row],[BB]]&lt;&gt;"Y"),-TableBets[[#This Row],[Stake]],TableBets[[#This Row],[Win]]="Sold",-TableBets[[#This Row],[Stake]]+TableBets[[#This Row],[Sold for]],TRUE,0)</f>
        <v>1.6399999999999997</v>
      </c>
      <c r="N214" s="15"/>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61">
        <f>_xlfn.IFS(TableBets[[#This Row],[Win]]="Won",TableBets[[#This Row],[Stake]]*(TableBets[[#This Row],[Odds]]-1),AND(TableBets[[#This Row],[Win]]="Lost",TableBets[[#This Row],[BB]]&lt;&gt;"Y"),-TableBets[[#This Row],[Stake]],TableBets[[#This Row],[Win]]="Sold",-TableBets[[#This Row],[Stake]]+TableBets[[#This Row],[Sold for]],TRUE,0)</f>
        <v>-4</v>
      </c>
      <c r="N215" s="15"/>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61">
        <f>_xlfn.IFS(TableBets[[#This Row],[Win]]="Won",TableBets[[#This Row],[Stake]]*(TableBets[[#This Row],[Odds]]-1),AND(TableBets[[#This Row],[Win]]="Lost",TableBets[[#This Row],[BB]]&lt;&gt;"Y"),-TableBets[[#This Row],[Stake]],TableBets[[#This Row],[Win]]="Sold",-TableBets[[#This Row],[Stake]]+TableBets[[#This Row],[Sold for]],TRUE,0)</f>
        <v>-4</v>
      </c>
      <c r="N216" s="15"/>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61">
        <f>_xlfn.IFS(TableBets[[#This Row],[Win]]="Won",TableBets[[#This Row],[Stake]]*(TableBets[[#This Row],[Odds]]-1),AND(TableBets[[#This Row],[Win]]="Lost",TableBets[[#This Row],[BB]]&lt;&gt;"Y"),-TableBets[[#This Row],[Stake]],TableBets[[#This Row],[Win]]="Sold",-TableBets[[#This Row],[Stake]]+TableBets[[#This Row],[Sold for]],TRUE,0)</f>
        <v>-4</v>
      </c>
      <c r="N217" s="15"/>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61">
        <f>_xlfn.IFS(TableBets[[#This Row],[Win]]="Won",TableBets[[#This Row],[Stake]]*(TableBets[[#This Row],[Odds]]-1),AND(TableBets[[#This Row],[Win]]="Lost",TableBets[[#This Row],[BB]]&lt;&gt;"Y"),-TableBets[[#This Row],[Stake]],TableBets[[#This Row],[Win]]="Sold",-TableBets[[#This Row],[Stake]]+TableBets[[#This Row],[Sold for]],TRUE,0)</f>
        <v>1.6479999999999997</v>
      </c>
      <c r="N218" s="15"/>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61">
        <f>_xlfn.IFS(TableBets[[#This Row],[Win]]="Won",TableBets[[#This Row],[Stake]]*(TableBets[[#This Row],[Odds]]-1),AND(TableBets[[#This Row],[Win]]="Lost",TableBets[[#This Row],[BB]]&lt;&gt;"Y"),-TableBets[[#This Row],[Stake]],TableBets[[#This Row],[Win]]="Sold",-TableBets[[#This Row],[Stake]]+TableBets[[#This Row],[Sold for]],TRUE,0)</f>
        <v>1.9000000000000004</v>
      </c>
      <c r="N219" s="15"/>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61">
        <f>_xlfn.IFS(TableBets[[#This Row],[Win]]="Won",TableBets[[#This Row],[Stake]]*(TableBets[[#This Row],[Odds]]-1),AND(TableBets[[#This Row],[Win]]="Lost",TableBets[[#This Row],[BB]]&lt;&gt;"Y"),-TableBets[[#This Row],[Stake]],TableBets[[#This Row],[Win]]="Sold",-TableBets[[#This Row],[Stake]]+TableBets[[#This Row],[Sold for]],TRUE,0)</f>
        <v>-4</v>
      </c>
      <c r="N220" s="15"/>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61">
        <f>_xlfn.IFS(TableBets[[#This Row],[Win]]="Won",TableBets[[#This Row],[Stake]]*(TableBets[[#This Row],[Odds]]-1),AND(TableBets[[#This Row],[Win]]="Lost",TableBets[[#This Row],[BB]]&lt;&gt;"Y"),-TableBets[[#This Row],[Stake]],TableBets[[#This Row],[Win]]="Sold",-TableBets[[#This Row],[Stake]]+TableBets[[#This Row],[Sold for]],TRUE,0)</f>
        <v>-4</v>
      </c>
      <c r="N221" s="15"/>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61">
        <f>_xlfn.IFS(TableBets[[#This Row],[Win]]="Won",TableBets[[#This Row],[Stake]]*(TableBets[[#This Row],[Odds]]-1),AND(TableBets[[#This Row],[Win]]="Lost",TableBets[[#This Row],[BB]]&lt;&gt;"Y"),-TableBets[[#This Row],[Stake]],TableBets[[#This Row],[Win]]="Sold",-TableBets[[#This Row],[Stake]]+TableBets[[#This Row],[Sold for]],TRUE,0)</f>
        <v>1.88</v>
      </c>
      <c r="N222" s="15"/>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61">
        <f>_xlfn.IFS(TableBets[[#This Row],[Win]]="Won",TableBets[[#This Row],[Stake]]*(TableBets[[#This Row],[Odds]]-1),AND(TableBets[[#This Row],[Win]]="Lost",TableBets[[#This Row],[BB]]&lt;&gt;"Y"),-TableBets[[#This Row],[Stake]],TableBets[[#This Row],[Win]]="Sold",-TableBets[[#This Row],[Stake]]+TableBets[[#This Row],[Sold for]],TRUE,0)</f>
        <v>-4</v>
      </c>
      <c r="N223" s="15"/>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61">
        <f>_xlfn.IFS(TableBets[[#This Row],[Win]]="Won",TableBets[[#This Row],[Stake]]*(TableBets[[#This Row],[Odds]]-1),AND(TableBets[[#This Row],[Win]]="Lost",TableBets[[#This Row],[BB]]&lt;&gt;"Y"),-TableBets[[#This Row],[Stake]],TableBets[[#This Row],[Win]]="Sold",-TableBets[[#This Row],[Stake]]+TableBets[[#This Row],[Sold for]],TRUE,0)</f>
        <v>2.8</v>
      </c>
      <c r="N224" s="15"/>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61">
        <f>_xlfn.IFS(TableBets[[#This Row],[Win]]="Won",TableBets[[#This Row],[Stake]]*(TableBets[[#This Row],[Odds]]-1),AND(TableBets[[#This Row],[Win]]="Lost",TableBets[[#This Row],[BB]]&lt;&gt;"Y"),-TableBets[[#This Row],[Stake]],TableBets[[#This Row],[Win]]="Sold",-TableBets[[#This Row],[Stake]]+TableBets[[#This Row],[Sold for]],TRUE,0)</f>
        <v>-4</v>
      </c>
      <c r="N225" s="15"/>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61">
        <f>_xlfn.IFS(TableBets[[#This Row],[Win]]="Won",TableBets[[#This Row],[Stake]]*(TableBets[[#This Row],[Odds]]-1),AND(TableBets[[#This Row],[Win]]="Lost",TableBets[[#This Row],[BB]]&lt;&gt;"Y"),-TableBets[[#This Row],[Stake]],TableBets[[#This Row],[Win]]="Sold",-TableBets[[#This Row],[Stake]]+TableBets[[#This Row],[Sold for]],TRUE,0)</f>
        <v>5.1199999999999992</v>
      </c>
      <c r="N226" s="15"/>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61">
        <f>_xlfn.IFS(TableBets[[#This Row],[Win]]="Won",TableBets[[#This Row],[Stake]]*(TableBets[[#This Row],[Odds]]-1),AND(TableBets[[#This Row],[Win]]="Lost",TableBets[[#This Row],[BB]]&lt;&gt;"Y"),-TableBets[[#This Row],[Stake]],TableBets[[#This Row],[Win]]="Sold",-TableBets[[#This Row],[Stake]]+TableBets[[#This Row],[Sold for]],TRUE,0)</f>
        <v>3.84</v>
      </c>
      <c r="N227" s="15"/>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61">
        <f>_xlfn.IFS(TableBets[[#This Row],[Win]]="Won",TableBets[[#This Row],[Stake]]*(TableBets[[#This Row],[Odds]]-1),AND(TableBets[[#This Row],[Win]]="Lost",TableBets[[#This Row],[BB]]&lt;&gt;"Y"),-TableBets[[#This Row],[Stake]],TableBets[[#This Row],[Win]]="Sold",-TableBets[[#This Row],[Stake]]+TableBets[[#This Row],[Sold for]],TRUE,0)</f>
        <v>3.2</v>
      </c>
      <c r="N228" s="15"/>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61">
        <f>_xlfn.IFS(TableBets[[#This Row],[Win]]="Won",TableBets[[#This Row],[Stake]]*(TableBets[[#This Row],[Odds]]-1),AND(TableBets[[#This Row],[Win]]="Lost",TableBets[[#This Row],[BB]]&lt;&gt;"Y"),-TableBets[[#This Row],[Stake]],TableBets[[#This Row],[Win]]="Sold",-TableBets[[#This Row],[Stake]]+TableBets[[#This Row],[Sold for]],TRUE,0)</f>
        <v>2.3200000000000003</v>
      </c>
      <c r="N229" s="15"/>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61">
        <f>_xlfn.IFS(TableBets[[#This Row],[Win]]="Won",TableBets[[#This Row],[Stake]]*(TableBets[[#This Row],[Odds]]-1),AND(TableBets[[#This Row],[Win]]="Lost",TableBets[[#This Row],[BB]]&lt;&gt;"Y"),-TableBets[[#This Row],[Stake]],TableBets[[#This Row],[Win]]="Sold",-TableBets[[#This Row],[Stake]]+TableBets[[#This Row],[Sold for]],TRUE,0)</f>
        <v>1.8200000000000003</v>
      </c>
      <c r="N230" s="15"/>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61">
        <f>_xlfn.IFS(TableBets[[#This Row],[Win]]="Won",TableBets[[#This Row],[Stake]]*(TableBets[[#This Row],[Odds]]-1),AND(TableBets[[#This Row],[Win]]="Lost",TableBets[[#This Row],[BB]]&lt;&gt;"Y"),-TableBets[[#This Row],[Stake]],TableBets[[#This Row],[Win]]="Sold",-TableBets[[#This Row],[Stake]]+TableBets[[#This Row],[Sold for]],TRUE,0)</f>
        <v>3.88</v>
      </c>
      <c r="N231" s="15"/>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61">
        <f>_xlfn.IFS(TableBets[[#This Row],[Win]]="Won",TableBets[[#This Row],[Stake]]*(TableBets[[#This Row],[Odds]]-1),AND(TableBets[[#This Row],[Win]]="Lost",TableBets[[#This Row],[BB]]&lt;&gt;"Y"),-TableBets[[#This Row],[Stake]],TableBets[[#This Row],[Win]]="Sold",-TableBets[[#This Row],[Stake]]+TableBets[[#This Row],[Sold for]],TRUE,0)</f>
        <v>-4</v>
      </c>
      <c r="N232" s="15"/>
      <c r="R232" s="23">
        <f>TableBets[[#This Row],[Date]]</f>
        <v>44850</v>
      </c>
      <c r="S232" s="15">
        <f>TableBets[[#This Row],[Profit]]+$S231</f>
        <v>2.266420000000025</v>
      </c>
    </row>
    <row r="233" spans="1:19" x14ac:dyDescent="0.2">
      <c r="A233" s="19">
        <v>44850</v>
      </c>
      <c r="B233" s="7" t="s">
        <v>454</v>
      </c>
      <c r="C233" s="7" t="s">
        <v>455</v>
      </c>
      <c r="D233" s="7" t="s">
        <v>3</v>
      </c>
      <c r="E233" s="7" t="s">
        <v>6</v>
      </c>
      <c r="F233" s="7" t="s">
        <v>456</v>
      </c>
      <c r="G233" s="7" t="s">
        <v>30</v>
      </c>
      <c r="H233" s="7" t="s">
        <v>30</v>
      </c>
      <c r="I233" s="7" t="s">
        <v>457</v>
      </c>
      <c r="J233" s="8">
        <v>4</v>
      </c>
      <c r="K233" s="9">
        <v>2.12</v>
      </c>
      <c r="L233" s="7" t="s">
        <v>19</v>
      </c>
      <c r="M233" s="61">
        <f>_xlfn.IFS(TableBets[[#This Row],[Win]]="Won",TableBets[[#This Row],[Stake]]*(TableBets[[#This Row],[Odds]]-1),AND(TableBets[[#This Row],[Win]]="Lost",TableBets[[#This Row],[BB]]&lt;&gt;"Y"),-TableBets[[#This Row],[Stake]],TableBets[[#This Row],[Win]]="Sold",-TableBets[[#This Row],[Stake]]+TableBets[[#This Row],[Sold for]],TRUE,0)</f>
        <v>-4</v>
      </c>
      <c r="N233" s="15"/>
      <c r="R233" s="23">
        <f>TableBets[[#This Row],[Date]]</f>
        <v>44850</v>
      </c>
      <c r="S233" s="15">
        <f>TableBets[[#This Row],[Profit]]+$S232</f>
        <v>-1.733579999999975</v>
      </c>
    </row>
    <row r="234" spans="1:19" x14ac:dyDescent="0.2">
      <c r="A234" s="19">
        <v>44850</v>
      </c>
      <c r="B234" s="7" t="s">
        <v>2</v>
      </c>
      <c r="C234" s="7" t="s">
        <v>458</v>
      </c>
      <c r="D234" s="7" t="s">
        <v>3</v>
      </c>
      <c r="E234" s="7" t="s">
        <v>6</v>
      </c>
      <c r="F234" s="7" t="s">
        <v>458</v>
      </c>
      <c r="G234" s="7" t="s">
        <v>32</v>
      </c>
      <c r="H234" s="7" t="s">
        <v>30</v>
      </c>
      <c r="I234" s="7" t="s">
        <v>91</v>
      </c>
      <c r="J234" s="8">
        <v>4</v>
      </c>
      <c r="K234" s="9">
        <v>2.39</v>
      </c>
      <c r="L234" s="7" t="s">
        <v>18</v>
      </c>
      <c r="M234" s="61">
        <f>_xlfn.IFS(TableBets[[#This Row],[Win]]="Won",TableBets[[#This Row],[Stake]]*(TableBets[[#This Row],[Odds]]-1),AND(TableBets[[#This Row],[Win]]="Lost",TableBets[[#This Row],[BB]]&lt;&gt;"Y"),-TableBets[[#This Row],[Stake]],TableBets[[#This Row],[Win]]="Sold",-TableBets[[#This Row],[Stake]]+TableBets[[#This Row],[Sold for]],TRUE,0)</f>
        <v>5.5600000000000005</v>
      </c>
      <c r="N234" s="15"/>
      <c r="R234" s="23">
        <f>TableBets[[#This Row],[Date]]</f>
        <v>44850</v>
      </c>
      <c r="S234" s="15">
        <f>TableBets[[#This Row],[Profit]]+$S233</f>
        <v>3.8264200000000255</v>
      </c>
    </row>
    <row r="235" spans="1:19" x14ac:dyDescent="0.2">
      <c r="A235" s="19">
        <v>44850</v>
      </c>
      <c r="B235" s="7" t="s">
        <v>2</v>
      </c>
      <c r="C235" s="7" t="s">
        <v>459</v>
      </c>
      <c r="D235" s="7" t="s">
        <v>3</v>
      </c>
      <c r="E235" s="7" t="s">
        <v>6</v>
      </c>
      <c r="F235" s="7" t="s">
        <v>460</v>
      </c>
      <c r="G235" s="7" t="s">
        <v>32</v>
      </c>
      <c r="H235" s="7" t="s">
        <v>30</v>
      </c>
      <c r="I235" s="7" t="s">
        <v>45</v>
      </c>
      <c r="J235" s="8">
        <v>4</v>
      </c>
      <c r="K235" s="9">
        <v>1.86</v>
      </c>
      <c r="L235" s="7" t="s">
        <v>19</v>
      </c>
      <c r="M235" s="61">
        <f>_xlfn.IFS(TableBets[[#This Row],[Win]]="Won",TableBets[[#This Row],[Stake]]*(TableBets[[#This Row],[Odds]]-1),AND(TableBets[[#This Row],[Win]]="Lost",TableBets[[#This Row],[BB]]&lt;&gt;"Y"),-TableBets[[#This Row],[Stake]],TableBets[[#This Row],[Win]]="Sold",-TableBets[[#This Row],[Stake]]+TableBets[[#This Row],[Sold for]],TRUE,0)</f>
        <v>-4</v>
      </c>
      <c r="N235" s="15"/>
      <c r="R235" s="23">
        <f>TableBets[[#This Row],[Date]]</f>
        <v>44850</v>
      </c>
      <c r="S235" s="15">
        <f>TableBets[[#This Row],[Profit]]+$S234</f>
        <v>-0.17357999999997453</v>
      </c>
    </row>
    <row r="236" spans="1:19" x14ac:dyDescent="0.2">
      <c r="A236" s="19">
        <v>44850</v>
      </c>
      <c r="B236" s="7" t="s">
        <v>2</v>
      </c>
      <c r="C236" s="7" t="s">
        <v>237</v>
      </c>
      <c r="D236" s="7" t="s">
        <v>3</v>
      </c>
      <c r="E236" s="7" t="s">
        <v>6</v>
      </c>
      <c r="F236" s="7" t="s">
        <v>461</v>
      </c>
      <c r="G236" s="7" t="s">
        <v>32</v>
      </c>
      <c r="H236" s="7" t="s">
        <v>30</v>
      </c>
      <c r="I236" s="7" t="s">
        <v>41</v>
      </c>
      <c r="J236" s="8">
        <v>4</v>
      </c>
      <c r="K236" s="9">
        <v>1.32</v>
      </c>
      <c r="L236" s="7" t="s">
        <v>19</v>
      </c>
      <c r="M236" s="61">
        <f>_xlfn.IFS(TableBets[[#This Row],[Win]]="Won",TableBets[[#This Row],[Stake]]*(TableBets[[#This Row],[Odds]]-1),AND(TableBets[[#This Row],[Win]]="Lost",TableBets[[#This Row],[BB]]&lt;&gt;"Y"),-TableBets[[#This Row],[Stake]],TableBets[[#This Row],[Win]]="Sold",-TableBets[[#This Row],[Stake]]+TableBets[[#This Row],[Sold for]],TRUE,0)</f>
        <v>-4</v>
      </c>
      <c r="N236" s="15"/>
      <c r="R236" s="23">
        <f>TableBets[[#This Row],[Date]]</f>
        <v>44850</v>
      </c>
      <c r="S236" s="15">
        <f>TableBets[[#This Row],[Profit]]+$S235</f>
        <v>-4.1735799999999745</v>
      </c>
    </row>
    <row r="237" spans="1:19" x14ac:dyDescent="0.2">
      <c r="A237" s="19">
        <v>44850</v>
      </c>
      <c r="B237" s="7" t="s">
        <v>2</v>
      </c>
      <c r="C237" s="7" t="s">
        <v>462</v>
      </c>
      <c r="D237" s="7" t="s">
        <v>13</v>
      </c>
      <c r="E237" s="7" t="s">
        <v>6</v>
      </c>
      <c r="F237" s="7" t="s">
        <v>463</v>
      </c>
      <c r="G237" s="7" t="s">
        <v>32</v>
      </c>
      <c r="H237" s="7" t="s">
        <v>30</v>
      </c>
      <c r="I237" s="7" t="s">
        <v>174</v>
      </c>
      <c r="J237" s="8">
        <v>4</v>
      </c>
      <c r="K237" s="9">
        <v>1.45</v>
      </c>
      <c r="L237" s="7" t="s">
        <v>19</v>
      </c>
      <c r="M237" s="61">
        <f>_xlfn.IFS(TableBets[[#This Row],[Win]]="Won",TableBets[[#This Row],[Stake]]*(TableBets[[#This Row],[Odds]]-1),AND(TableBets[[#This Row],[Win]]="Lost",TableBets[[#This Row],[BB]]&lt;&gt;"Y"),-TableBets[[#This Row],[Stake]],TableBets[[#This Row],[Win]]="Sold",-TableBets[[#This Row],[Stake]]+TableBets[[#This Row],[Sold for]],TRUE,0)</f>
        <v>-4</v>
      </c>
      <c r="N237" s="15"/>
      <c r="R237" s="23">
        <f>TableBets[[#This Row],[Date]]</f>
        <v>44850</v>
      </c>
      <c r="S237" s="15">
        <f>TableBets[[#This Row],[Profit]]+$S236</f>
        <v>-8.1735799999999745</v>
      </c>
    </row>
    <row r="238" spans="1:19" x14ac:dyDescent="0.2">
      <c r="A238" s="19">
        <v>44850</v>
      </c>
      <c r="B238" s="7" t="s">
        <v>2</v>
      </c>
      <c r="C238" s="7" t="s">
        <v>295</v>
      </c>
      <c r="D238" s="7" t="s">
        <v>3</v>
      </c>
      <c r="E238" s="7" t="s">
        <v>6</v>
      </c>
      <c r="F238" s="7" t="s">
        <v>464</v>
      </c>
      <c r="G238" s="7" t="s">
        <v>32</v>
      </c>
      <c r="H238" s="7" t="s">
        <v>30</v>
      </c>
      <c r="I238" s="7" t="s">
        <v>48</v>
      </c>
      <c r="J238" s="8">
        <v>4</v>
      </c>
      <c r="K238" s="9">
        <v>2.58</v>
      </c>
      <c r="L238" s="7" t="s">
        <v>19</v>
      </c>
      <c r="M238" s="61">
        <f>_xlfn.IFS(TableBets[[#This Row],[Win]]="Won",TableBets[[#This Row],[Stake]]*(TableBets[[#This Row],[Odds]]-1),AND(TableBets[[#This Row],[Win]]="Lost",TableBets[[#This Row],[BB]]&lt;&gt;"Y"),-TableBets[[#This Row],[Stake]],TableBets[[#This Row],[Win]]="Sold",-TableBets[[#This Row],[Stake]]+TableBets[[#This Row],[Sold for]],TRUE,0)</f>
        <v>-4</v>
      </c>
      <c r="N238" s="15"/>
      <c r="R238" s="23">
        <f>TableBets[[#This Row],[Date]]</f>
        <v>44850</v>
      </c>
      <c r="S238" s="15">
        <f>TableBets[[#This Row],[Profit]]+$S237</f>
        <v>-12.173579999999975</v>
      </c>
    </row>
    <row r="239" spans="1:19" x14ac:dyDescent="0.2">
      <c r="A239" s="19">
        <v>44850</v>
      </c>
      <c r="B239" s="7" t="s">
        <v>2</v>
      </c>
      <c r="C239" s="7" t="s">
        <v>465</v>
      </c>
      <c r="D239" s="7" t="s">
        <v>11</v>
      </c>
      <c r="E239" s="7" t="s">
        <v>6</v>
      </c>
      <c r="F239" s="7" t="s">
        <v>466</v>
      </c>
      <c r="G239" s="7" t="s">
        <v>30</v>
      </c>
      <c r="H239" s="7" t="s">
        <v>30</v>
      </c>
      <c r="I239" s="7" t="s">
        <v>48</v>
      </c>
      <c r="J239" s="8">
        <v>4</v>
      </c>
      <c r="K239" s="9">
        <v>1.53</v>
      </c>
      <c r="L239" s="7" t="s">
        <v>18</v>
      </c>
      <c r="M239" s="61">
        <f>_xlfn.IFS(TableBets[[#This Row],[Win]]="Won",TableBets[[#This Row],[Stake]]*(TableBets[[#This Row],[Odds]]-1),AND(TableBets[[#This Row],[Win]]="Lost",TableBets[[#This Row],[BB]]&lt;&gt;"Y"),-TableBets[[#This Row],[Stake]],TableBets[[#This Row],[Win]]="Sold",-TableBets[[#This Row],[Stake]]+TableBets[[#This Row],[Sold for]],TRUE,0)</f>
        <v>2.12</v>
      </c>
      <c r="N239" s="15"/>
    </row>
    <row r="240" spans="1:19" x14ac:dyDescent="0.2">
      <c r="A240" s="19">
        <v>44851</v>
      </c>
      <c r="B240" s="7" t="s">
        <v>2</v>
      </c>
      <c r="C240" s="7" t="s">
        <v>467</v>
      </c>
      <c r="D240" s="7" t="s">
        <v>11</v>
      </c>
      <c r="E240" s="7" t="s">
        <v>6</v>
      </c>
      <c r="F240" s="7" t="s">
        <v>468</v>
      </c>
      <c r="G240" s="7" t="s">
        <v>30</v>
      </c>
      <c r="H240" s="7" t="s">
        <v>30</v>
      </c>
      <c r="I240" s="7"/>
      <c r="J240" s="8">
        <v>4</v>
      </c>
      <c r="K240" s="9">
        <v>1.45</v>
      </c>
      <c r="L240" s="7" t="s">
        <v>17</v>
      </c>
      <c r="M240" s="61">
        <f>_xlfn.IFS(TableBets[[#This Row],[Win]]="Won",TableBets[[#This Row],[Stake]]*(TableBets[[#This Row],[Odds]]-1),AND(TableBets[[#This Row],[Win]]="Lost",TableBets[[#This Row],[BB]]&lt;&gt;"Y"),-TableBets[[#This Row],[Stake]],TableBets[[#This Row],[Win]]="Sold",-TableBets[[#This Row],[Stake]]+TableBets[[#This Row],[Sold for]],TRUE,0)</f>
        <v>0</v>
      </c>
      <c r="N240" s="15"/>
    </row>
    <row r="241" spans="1:14" x14ac:dyDescent="0.2">
      <c r="A241" s="19">
        <v>44851</v>
      </c>
      <c r="B241" s="7" t="s">
        <v>2</v>
      </c>
      <c r="C241" s="7" t="s">
        <v>469</v>
      </c>
      <c r="D241" s="7" t="s">
        <v>11</v>
      </c>
      <c r="E241" s="7" t="s">
        <v>6</v>
      </c>
      <c r="F241" s="7" t="s">
        <v>470</v>
      </c>
      <c r="G241" s="7" t="s">
        <v>32</v>
      </c>
      <c r="H241" s="7" t="s">
        <v>30</v>
      </c>
      <c r="I241" s="7"/>
      <c r="J241" s="8">
        <v>4</v>
      </c>
      <c r="K241" s="9">
        <v>1.39</v>
      </c>
      <c r="L241" s="7" t="s">
        <v>17</v>
      </c>
      <c r="M241" s="8">
        <f>_xlfn.IFS(TableBets[[#This Row],[Win]]="Won",TableBets[[#This Row],[Stake]]*(TableBets[[#This Row],[Odds]]-1),AND(TableBets[[#This Row],[Win]]="Lost",TableBets[[#This Row],[BB]]&lt;&gt;"Y"),-TableBets[[#This Row],[Stake]],TableBets[[#This Row],[Win]]="Sold",-TableBets[[#This Row],[Stake]]+TableBets[[#This Row],[Sold for]],TRUE,0)</f>
        <v>0</v>
      </c>
      <c r="N241" s="15"/>
    </row>
  </sheetData>
  <conditionalFormatting sqref="A2:M241">
    <cfRule type="expression" dxfId="6" priority="57" stopIfTrue="1">
      <formula>AND($J2&gt;0,$L2="Lost")</formula>
    </cfRule>
    <cfRule type="expression" dxfId="5" priority="59" stopIfTrue="1">
      <formula>$L2="Acca"</formula>
    </cfRule>
    <cfRule type="expression" dxfId="4" priority="60" stopIfTrue="1">
      <formula>AND($J2&gt;0,$L2="Pending")</formula>
    </cfRule>
    <cfRule type="expression" dxfId="3" priority="58" stopIfTrue="1">
      <formula>AND($J2&gt;0,$L2="Won")</formula>
    </cfRule>
    <cfRule type="expression" dxfId="2" priority="56" stopIfTrue="1">
      <formula>AND($J2&gt;0,$L2="Refund")</formula>
    </cfRule>
  </conditionalFormatting>
  <conditionalFormatting sqref="A2:N241">
    <cfRule type="expression" dxfId="1" priority="3" stopIfTrue="1">
      <formula>AND($J2&gt;0,$L2="Sold")</formula>
    </cfRule>
  </conditionalFormatting>
  <conditionalFormatting sqref="N2:N241">
    <cfRule type="expression" dxfId="0" priority="1">
      <formula>$L2&lt;&gt;"Sold"</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41" xr:uid="{50A0BA38-9146-4275-9C27-25556FF34F7D}">
      <formula1>listSport</formula1>
    </dataValidation>
    <dataValidation type="list" allowBlank="1" showInputMessage="1" showErrorMessage="1" sqref="D2:D241" xr:uid="{FA8A8B4C-27BC-447B-B380-E84C74ED2081}">
      <formula1>listBetType</formula1>
    </dataValidation>
    <dataValidation type="list" allowBlank="1" showInputMessage="1" showErrorMessage="1" sqref="L2:L241" xr:uid="{9BA95D35-D1F9-4C3B-B56B-E5F087DE9B93}">
      <formula1>listBetOutcome</formula1>
    </dataValidation>
    <dataValidation type="list" allowBlank="1" showInputMessage="1" showErrorMessage="1" sqref="G2:H241"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15" r:id="rId4" name="resetBets">
          <controlPr defaultSize="0" autoLine="0" r:id="rId5">
            <anchor moveWithCells="1">
              <from>
                <xdr:col>15</xdr:col>
                <xdr:colOff>600075</xdr:colOff>
                <xdr:row>1</xdr:row>
                <xdr:rowOff>152400</xdr:rowOff>
              </from>
              <to>
                <xdr:col>16</xdr:col>
                <xdr:colOff>714375</xdr:colOff>
                <xdr:row>3</xdr:row>
                <xdr:rowOff>152400</xdr:rowOff>
              </to>
            </anchor>
          </controlPr>
        </control>
      </mc:Choice>
      <mc:Fallback>
        <control shapeId="4115" r:id="rId4" name="resetBets"/>
      </mc:Fallback>
    </mc:AlternateContent>
    <mc:AlternateContent xmlns:mc="http://schemas.openxmlformats.org/markup-compatibility/2006">
      <mc:Choice Requires="x14">
        <control shapeId="4103" r:id="rId6" name="newBet">
          <controlPr defaultSize="0" autoLine="0" r:id="rId7">
            <anchor moveWithCells="1">
              <from>
                <xdr:col>13</xdr:col>
                <xdr:colOff>733425</xdr:colOff>
                <xdr:row>220</xdr:row>
                <xdr:rowOff>9525</xdr:rowOff>
              </from>
              <to>
                <xdr:col>15</xdr:col>
                <xdr:colOff>552450</xdr:colOff>
                <xdr:row>222</xdr:row>
                <xdr:rowOff>9525</xdr:rowOff>
              </to>
            </anchor>
          </controlPr>
        </control>
      </mc:Choice>
      <mc:Fallback>
        <control shapeId="4103" r:id="rId6" name="newBet"/>
      </mc:Fallback>
    </mc:AlternateContent>
    <mc:AlternateContent xmlns:mc="http://schemas.openxmlformats.org/markup-compatibility/2006">
      <mc:Choice Requires="x14">
        <control shapeId="4104" r:id="rId8" name="removeBet">
          <controlPr defaultSize="0" autoLine="0" r:id="rId9">
            <anchor moveWithCells="1">
              <from>
                <xdr:col>13</xdr:col>
                <xdr:colOff>733425</xdr:colOff>
                <xdr:row>222</xdr:row>
                <xdr:rowOff>19050</xdr:rowOff>
              </from>
              <to>
                <xdr:col>15</xdr:col>
                <xdr:colOff>552450</xdr:colOff>
                <xdr:row>224</xdr:row>
                <xdr:rowOff>19050</xdr:rowOff>
              </to>
            </anchor>
          </controlPr>
        </control>
      </mc:Choice>
      <mc:Fallback>
        <control shapeId="4104" r:id="rId8" name="removeBet"/>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B26" sqref="B26"/>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4" r:id="rId3" name="addMovement">
          <controlPr defaultSize="0" autoLine="0" r:id="rId4">
            <anchor moveWithCells="1">
              <from>
                <xdr:col>3</xdr:col>
                <xdr:colOff>47625</xdr:colOff>
                <xdr:row>0</xdr:row>
                <xdr:rowOff>19050</xdr:rowOff>
              </from>
              <to>
                <xdr:col>4</xdr:col>
                <xdr:colOff>552450</xdr:colOff>
                <xdr:row>1</xdr:row>
                <xdr:rowOff>142875</xdr:rowOff>
              </to>
            </anchor>
          </controlPr>
        </control>
      </mc:Choice>
      <mc:Fallback>
        <control shapeId="8194" r:id="rId3" name="addMovement"/>
      </mc:Fallback>
    </mc:AlternateContent>
    <mc:AlternateContent xmlns:mc="http://schemas.openxmlformats.org/markup-compatibility/2006">
      <mc:Choice Requires="x14">
        <control shapeId="8195" r:id="rId5" name="removeMovement">
          <controlPr defaultSize="0" autoLine="0" r:id="rId6">
            <anchor moveWithCells="1">
              <from>
                <xdr:col>3</xdr:col>
                <xdr:colOff>47625</xdr:colOff>
                <xdr:row>2</xdr:row>
                <xdr:rowOff>0</xdr:rowOff>
              </from>
              <to>
                <xdr:col>4</xdr:col>
                <xdr:colOff>552450</xdr:colOff>
                <xdr:row>3</xdr:row>
                <xdr:rowOff>123825</xdr:rowOff>
              </to>
            </anchor>
          </controlPr>
        </control>
      </mc:Choice>
      <mc:Fallback>
        <control shapeId="8195" r:id="rId5" name="remove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3"/>
  <sheetViews>
    <sheetView showGridLines="0" zoomScaleNormal="100" workbookViewId="0">
      <selection activeCell="G33" sqref="G33"/>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IFERROR(GETPIVOTDATA("Profit",$A$3),0)</f>
        <v>-10.05358</v>
      </c>
      <c r="D1" t="s">
        <v>412</v>
      </c>
      <c r="E1">
        <f>IFERROR(GETPIVOTDATA("Stake",$D$3),0)</f>
        <v>964.96000000000015</v>
      </c>
      <c r="F1" s="25"/>
      <c r="G1" s="30" t="s">
        <v>413</v>
      </c>
      <c r="H1" s="44">
        <f>IFERROR(B1/E1,0&amp;"%")</f>
        <v>-1.0418649477698556E-2</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2</v>
      </c>
      <c r="K3" s="16" t="s">
        <v>354</v>
      </c>
      <c r="L3" t="s">
        <v>358</v>
      </c>
      <c r="N3" s="16" t="s">
        <v>354</v>
      </c>
      <c r="O3" t="s">
        <v>358</v>
      </c>
      <c r="Q3" s="32" t="s">
        <v>21</v>
      </c>
      <c r="R3" s="32" t="s">
        <v>381</v>
      </c>
      <c r="S3" s="32" t="s">
        <v>356</v>
      </c>
      <c r="V3" s="45" t="s">
        <v>354</v>
      </c>
      <c r="W3" s="46" t="s">
        <v>358</v>
      </c>
      <c r="Y3" s="16" t="s">
        <v>354</v>
      </c>
      <c r="Z3" t="s">
        <v>422</v>
      </c>
      <c r="AB3" s="32" t="s">
        <v>18</v>
      </c>
      <c r="AC3" s="32" t="s">
        <v>19</v>
      </c>
      <c r="AE3" t="str">
        <f>IFERROR(GETPIVOTDATA("Count of BB",$AE$4,"BB","Y"),0)&amp;" Bonus Bets w/"&amp;" Profit -&gt; "&amp;ROUND(IFERROR(GETPIVOTDATA("Sum of Profit",$AE$4,"BB","Y"),0),2)&amp;" €"</f>
        <v>0 Bonus Bets w/ Profit -&gt; 0 €</v>
      </c>
    </row>
    <row r="4" spans="1:33" ht="15" x14ac:dyDescent="0.25">
      <c r="A4" s="22">
        <v>44822</v>
      </c>
      <c r="B4" s="15">
        <v>5.3680000000000003</v>
      </c>
      <c r="D4" s="22">
        <v>44822</v>
      </c>
      <c r="E4" s="18">
        <v>8</v>
      </c>
      <c r="K4" s="17" t="s">
        <v>2</v>
      </c>
      <c r="L4" s="15">
        <v>10.078420000000005</v>
      </c>
      <c r="N4" s="22">
        <v>44851</v>
      </c>
      <c r="O4" s="15">
        <v>0</v>
      </c>
      <c r="Q4" s="35">
        <f>IF(N10="",N4,N10)</f>
        <v>44845</v>
      </c>
      <c r="R4" s="36" t="str">
        <f>COUNTIFS(TableBets[Win],"Won",TableBets[Date],Q4)&amp;" : "&amp;COUNTIFS(TableBets[Win],"Lost",TableBets[Date],Q4)</f>
        <v>7 : 4</v>
      </c>
      <c r="S4" s="37">
        <f t="shared" ref="S4:S9" si="0">VLOOKUP($Q4,$N$4:$O$32,2,)</f>
        <v>9.0120000000000005</v>
      </c>
      <c r="V4" s="47" t="s">
        <v>3</v>
      </c>
      <c r="W4" s="49">
        <v>35.126339999999999</v>
      </c>
      <c r="Y4" s="17" t="s">
        <v>19</v>
      </c>
      <c r="Z4" s="39">
        <v>1.9940441555555559</v>
      </c>
      <c r="AB4" s="41">
        <f>IFERROR(GETPIVOTDATA("Odds",$Y$3,"Win","Won"),0)</f>
        <v>1.6404130434782618</v>
      </c>
      <c r="AC4" s="41">
        <f>IFERROR(GETPIVOTDATA("Odds",$Y$3,"Win","Lost"),0)</f>
        <v>1.9940441555555559</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44850</v>
      </c>
      <c r="O5" s="15">
        <v>-7.9119999999999981</v>
      </c>
      <c r="Q5" s="35">
        <f>IF(N9="",N4,N9)</f>
        <v>44846</v>
      </c>
      <c r="R5" s="36" t="str">
        <f>COUNTIFS(TableBets[Win],"Won",TableBets[Date],Q5)&amp;" : "&amp;COUNTIFS(TableBets[Win],"Lost",TableBets[Date],Q5)</f>
        <v>8 : 0</v>
      </c>
      <c r="S5" s="37">
        <f t="shared" si="0"/>
        <v>21.728000000000002</v>
      </c>
      <c r="V5" s="47" t="s">
        <v>8</v>
      </c>
      <c r="W5" s="49">
        <v>-8</v>
      </c>
      <c r="Y5" s="17" t="s">
        <v>18</v>
      </c>
      <c r="Z5" s="39">
        <v>1.6404130434782618</v>
      </c>
      <c r="AB5" s="42" t="s">
        <v>374</v>
      </c>
      <c r="AC5" s="42"/>
      <c r="AE5" s="17" t="s">
        <v>30</v>
      </c>
      <c r="AF5" s="15">
        <v>-10.053579999999975</v>
      </c>
      <c r="AG5" s="18">
        <v>240</v>
      </c>
    </row>
    <row r="6" spans="1:33" ht="15" x14ac:dyDescent="0.25">
      <c r="A6" s="22">
        <v>44825</v>
      </c>
      <c r="B6" s="15">
        <v>21.508000000000003</v>
      </c>
      <c r="D6" s="22">
        <v>44825</v>
      </c>
      <c r="E6" s="18">
        <v>62</v>
      </c>
      <c r="G6" s="17" t="s">
        <v>17</v>
      </c>
      <c r="H6" s="18">
        <v>2</v>
      </c>
      <c r="I6" s="15">
        <v>8</v>
      </c>
      <c r="K6" s="17" t="s">
        <v>7</v>
      </c>
      <c r="L6" s="15">
        <v>-4</v>
      </c>
      <c r="N6" s="22">
        <v>44849</v>
      </c>
      <c r="O6" s="15">
        <v>12.991999999999997</v>
      </c>
      <c r="Q6" s="35">
        <f>IF(N8="",N4,N8)</f>
        <v>44847</v>
      </c>
      <c r="R6" s="36" t="str">
        <f>COUNTIFS(TableBets[Win],"Won",TableBets[Date],Q6)&amp;" : "&amp;COUNTIFS(TableBets[Win],"Lost",TableBets[Date],Q6)</f>
        <v>3 : 3</v>
      </c>
      <c r="S6" s="37">
        <f t="shared" si="0"/>
        <v>-4.7839999999999998</v>
      </c>
      <c r="V6" s="47" t="s">
        <v>5</v>
      </c>
      <c r="W6" s="49">
        <v>0</v>
      </c>
      <c r="Y6" s="17" t="s">
        <v>360</v>
      </c>
      <c r="Z6" s="39">
        <v>1.7800042719298244</v>
      </c>
      <c r="AB6" s="43">
        <f>GETPIVOTDATA("Odds",$Y$3)</f>
        <v>1.7800042719298244</v>
      </c>
      <c r="AC6" s="31"/>
      <c r="AE6" s="17" t="s">
        <v>360</v>
      </c>
      <c r="AF6" s="15">
        <v>-10.053579999999975</v>
      </c>
      <c r="AG6" s="18">
        <v>240</v>
      </c>
    </row>
    <row r="7" spans="1:33" ht="15" x14ac:dyDescent="0.25">
      <c r="A7" s="22">
        <v>44826</v>
      </c>
      <c r="B7" s="15">
        <v>-8.8199999999999985</v>
      </c>
      <c r="D7" s="22">
        <v>44826</v>
      </c>
      <c r="E7" s="18">
        <v>78</v>
      </c>
      <c r="G7" s="17" t="s">
        <v>360</v>
      </c>
      <c r="H7" s="18">
        <v>2</v>
      </c>
      <c r="I7" s="15">
        <v>8</v>
      </c>
      <c r="K7" s="17" t="s">
        <v>14</v>
      </c>
      <c r="L7" s="15">
        <v>-4</v>
      </c>
      <c r="N7" s="22">
        <v>44848</v>
      </c>
      <c r="O7" s="15">
        <v>9.48</v>
      </c>
      <c r="Q7" s="35">
        <f>IF(N7="",N4,N7)</f>
        <v>44848</v>
      </c>
      <c r="R7" s="36" t="str">
        <f>COUNTIFS(TableBets[Win],"Won",TableBets[Date],Q7)&amp;" : "&amp;COUNTIFS(TableBets[Win],"Lost",TableBets[Date],Q7)</f>
        <v>10 : 3</v>
      </c>
      <c r="S7" s="37">
        <f t="shared" si="0"/>
        <v>9.48</v>
      </c>
      <c r="V7" s="47" t="s">
        <v>13</v>
      </c>
      <c r="W7" s="49">
        <v>-24.34</v>
      </c>
    </row>
    <row r="8" spans="1:33" ht="15" x14ac:dyDescent="0.25">
      <c r="A8" s="22">
        <v>44827</v>
      </c>
      <c r="B8" s="15">
        <v>-24.104000000000003</v>
      </c>
      <c r="D8" s="22">
        <v>44827</v>
      </c>
      <c r="E8" s="18">
        <v>76</v>
      </c>
      <c r="K8" s="17" t="s">
        <v>12</v>
      </c>
      <c r="L8" s="15">
        <v>-8</v>
      </c>
      <c r="N8" s="22">
        <v>44847</v>
      </c>
      <c r="O8" s="15">
        <v>-4.7839999999999998</v>
      </c>
      <c r="Q8" s="35">
        <f>IF(N6="",N4,N6)</f>
        <v>44849</v>
      </c>
      <c r="R8" s="36" t="str">
        <f>COUNTIFS(TableBets[Win],"Won",TableBets[Date],Q8)&amp;" : "&amp;COUNTIFS(TableBets[Win],"Lost",TableBets[Date],Q8)</f>
        <v>13 : 6</v>
      </c>
      <c r="S8" s="37">
        <f t="shared" si="0"/>
        <v>12.991999999999997</v>
      </c>
      <c r="V8" s="47" t="s">
        <v>11</v>
      </c>
      <c r="W8" s="49">
        <v>-6.8399200000000002</v>
      </c>
    </row>
    <row r="9" spans="1:33" ht="15" x14ac:dyDescent="0.25">
      <c r="A9" s="22">
        <v>44828</v>
      </c>
      <c r="B9" s="15">
        <v>-18.38</v>
      </c>
      <c r="D9" s="22">
        <v>44828</v>
      </c>
      <c r="E9" s="18">
        <v>38</v>
      </c>
      <c r="K9" s="17" t="s">
        <v>10</v>
      </c>
      <c r="L9" s="15">
        <v>2.3200000000000003</v>
      </c>
      <c r="N9" s="22">
        <v>44846</v>
      </c>
      <c r="O9" s="15">
        <v>21.728000000000002</v>
      </c>
      <c r="Q9" s="35">
        <f>IF(N5="",N4,N5)</f>
        <v>44850</v>
      </c>
      <c r="R9" s="36" t="str">
        <f>COUNTIFS(TableBets[Win],"Won",TableBets[Date],Q9)&amp;" : "&amp;COUNTIFS(TableBets[Win],"Lost",TableBets[Date],Q9)</f>
        <v>12 : 11</v>
      </c>
      <c r="S9" s="37">
        <f t="shared" si="0"/>
        <v>-7.9119999999999981</v>
      </c>
      <c r="V9" s="47" t="s">
        <v>15</v>
      </c>
      <c r="W9" s="49">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1" t="s">
        <v>359</v>
      </c>
      <c r="H10" s="31"/>
      <c r="I10" s="31"/>
      <c r="K10" s="17" t="s">
        <v>454</v>
      </c>
      <c r="L10" s="15">
        <v>-4</v>
      </c>
      <c r="N10" s="22">
        <v>44845</v>
      </c>
      <c r="O10" s="15">
        <v>9.0120000000000005</v>
      </c>
      <c r="Q10" s="35">
        <f>IF(N4="",N4,N4)</f>
        <v>44851</v>
      </c>
      <c r="R10" s="36" t="str">
        <f>COUNTIFS(TableBets[Win],"Won",TableBets[Date],Q10)&amp;" : "&amp;COUNTIFS(TableBets[Win],"Lost",TableBets[Date],Q10)</f>
        <v>0 : 0</v>
      </c>
      <c r="S10" s="37">
        <f>VLOOKUP($Q10,$N$4:$O$32,2,)</f>
        <v>0</v>
      </c>
      <c r="V10" s="48" t="s">
        <v>374</v>
      </c>
      <c r="W10" s="49">
        <v>-10.05358</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-10.053579999999997</v>
      </c>
      <c r="N11" s="22">
        <v>44844</v>
      </c>
      <c r="O11" s="15">
        <v>-4.5599999999999987</v>
      </c>
      <c r="Q11" s="38" t="s">
        <v>374</v>
      </c>
      <c r="R11" s="33"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53 : 27</v>
      </c>
      <c r="S11" s="34">
        <f>SUM(Analysis!S4:S10)</f>
        <v>40.516000000000005</v>
      </c>
      <c r="V11" s="21"/>
      <c r="W11" s="21"/>
    </row>
    <row r="12" spans="1:33" x14ac:dyDescent="0.2">
      <c r="A12" s="22">
        <v>44831</v>
      </c>
      <c r="B12" s="15">
        <v>13.327999999999999</v>
      </c>
      <c r="D12" s="22">
        <v>44831</v>
      </c>
      <c r="E12" s="18">
        <v>19.68</v>
      </c>
      <c r="G12" s="17" t="s">
        <v>351</v>
      </c>
      <c r="H12" s="29">
        <v>100</v>
      </c>
      <c r="N12" s="22">
        <v>44843</v>
      </c>
      <c r="O12" s="15">
        <v>-30.73</v>
      </c>
      <c r="V12" s="40"/>
      <c r="W12" s="21"/>
    </row>
    <row r="13" spans="1:33" x14ac:dyDescent="0.2">
      <c r="A13" s="22">
        <v>44832</v>
      </c>
      <c r="B13" s="15">
        <v>1.4400000000000004</v>
      </c>
      <c r="D13" s="22">
        <v>44832</v>
      </c>
      <c r="E13" s="18">
        <v>4</v>
      </c>
      <c r="I13" s="29">
        <f>IFERROR(GETPIVOTDATA("Value",$G$11,"Movement","Withdrawal"),0)</f>
        <v>0</v>
      </c>
      <c r="N13" s="22">
        <v>44842</v>
      </c>
      <c r="O13" s="15">
        <v>6.9999999999999396E-2</v>
      </c>
    </row>
    <row r="14" spans="1:33" x14ac:dyDescent="0.2">
      <c r="A14" s="22">
        <v>44833</v>
      </c>
      <c r="B14" s="15">
        <v>3.04</v>
      </c>
      <c r="D14" s="22">
        <v>44833</v>
      </c>
      <c r="E14" s="18">
        <v>4</v>
      </c>
      <c r="K14" s="50"/>
      <c r="L14" s="50"/>
      <c r="N14" s="22">
        <v>44841</v>
      </c>
      <c r="O14" s="15">
        <v>3.0599999999999987</v>
      </c>
    </row>
    <row r="15" spans="1:33" x14ac:dyDescent="0.2">
      <c r="A15" s="22">
        <v>44834</v>
      </c>
      <c r="B15" s="15">
        <v>-1.858299999999999</v>
      </c>
      <c r="D15" s="22">
        <v>44834</v>
      </c>
      <c r="E15" s="18">
        <v>33.489999999999995</v>
      </c>
      <c r="G15" t="s">
        <v>367</v>
      </c>
      <c r="K15" s="50" t="s">
        <v>357</v>
      </c>
      <c r="L15" s="51">
        <f>IFERROR(GETPIVOTDATA("Value",Analysis!$G$11,"Movement","Deposit"),0)</f>
        <v>100</v>
      </c>
      <c r="N15" s="22">
        <v>44840</v>
      </c>
      <c r="O15" s="15">
        <v>2.6799999999999997</v>
      </c>
    </row>
    <row r="16" spans="1:33" x14ac:dyDescent="0.2">
      <c r="A16" s="22">
        <v>44835</v>
      </c>
      <c r="B16" s="15">
        <v>1.92</v>
      </c>
      <c r="D16" s="22">
        <v>44835</v>
      </c>
      <c r="E16" s="18">
        <v>4</v>
      </c>
      <c r="G16" s="20">
        <f>IFERROR(L16*0.01,1)</f>
        <v>0.89946420000000016</v>
      </c>
      <c r="K16" s="50" t="s">
        <v>432</v>
      </c>
      <c r="L16" s="54">
        <f>IFERROR(Analysis!L15+SUM(TableBets[Profit]),0)</f>
        <v>89.946420000000018</v>
      </c>
      <c r="N16" s="22">
        <v>44839</v>
      </c>
      <c r="O16" s="15">
        <v>-1.88</v>
      </c>
      <c r="Q16" s="16" t="s">
        <v>354</v>
      </c>
      <c r="R16" t="s">
        <v>358</v>
      </c>
    </row>
    <row r="17" spans="1:28" x14ac:dyDescent="0.2">
      <c r="A17" s="22">
        <v>44836</v>
      </c>
      <c r="B17" s="15">
        <v>3.3200000000000003</v>
      </c>
      <c r="D17" s="22">
        <v>44836</v>
      </c>
      <c r="E17" s="18">
        <v>28</v>
      </c>
      <c r="G17" t="s">
        <v>368</v>
      </c>
      <c r="K17" s="52" t="s">
        <v>366</v>
      </c>
      <c r="L17" s="53">
        <f>IFERROR(Analysis!L15+SUM(TableBets[Profit])-IFERROR(GETPIVOTDATA("Sum of Stake",$G$5,"Win","Pending"),0),0)</f>
        <v>81.946420000000018</v>
      </c>
      <c r="N17" s="22">
        <v>44838</v>
      </c>
      <c r="O17" s="15">
        <v>-1.3680000000000003</v>
      </c>
      <c r="Q17" s="17" t="s">
        <v>6</v>
      </c>
      <c r="R17" s="15">
        <v>5.9464200000000131</v>
      </c>
      <c r="S17" s="15"/>
    </row>
    <row r="18" spans="1:28" x14ac:dyDescent="0.2">
      <c r="A18" s="22">
        <v>44837</v>
      </c>
      <c r="B18" s="15">
        <v>3.3000000000000003</v>
      </c>
      <c r="D18" s="22">
        <v>44837</v>
      </c>
      <c r="E18" s="18">
        <v>6</v>
      </c>
      <c r="G18">
        <v>4</v>
      </c>
      <c r="K18" s="50"/>
      <c r="L18" s="50"/>
      <c r="N18" s="22">
        <v>44837</v>
      </c>
      <c r="O18" s="15">
        <v>3.3000000000000003</v>
      </c>
      <c r="Q18" s="17" t="s">
        <v>9</v>
      </c>
      <c r="R18" s="15">
        <v>-16</v>
      </c>
      <c r="S18" s="15"/>
    </row>
    <row r="19" spans="1:28" x14ac:dyDescent="0.2">
      <c r="A19" s="22">
        <v>44838</v>
      </c>
      <c r="B19" s="15">
        <v>-1.3680000000000003</v>
      </c>
      <c r="D19" s="22">
        <v>44838</v>
      </c>
      <c r="E19" s="18">
        <v>8</v>
      </c>
      <c r="G19" s="15" t="str">
        <f>G18&amp; " Unit = "&amp;ROUND(G18*G16,2)&amp;" €"</f>
        <v>4 Unit = 3,6 €</v>
      </c>
      <c r="N19" s="22">
        <v>44836</v>
      </c>
      <c r="O19" s="15">
        <v>3.3200000000000003</v>
      </c>
      <c r="Q19" s="17" t="s">
        <v>360</v>
      </c>
      <c r="R19" s="15">
        <v>-10.053579999999986</v>
      </c>
      <c r="S19" s="15"/>
    </row>
    <row r="20" spans="1:28" x14ac:dyDescent="0.2">
      <c r="A20" s="22">
        <v>44839</v>
      </c>
      <c r="B20" s="15">
        <v>-1.88</v>
      </c>
      <c r="D20" s="22">
        <v>44839</v>
      </c>
      <c r="E20" s="18">
        <v>8</v>
      </c>
      <c r="N20" s="22">
        <v>44835</v>
      </c>
      <c r="O20" s="15">
        <v>1.92</v>
      </c>
    </row>
    <row r="21" spans="1:28" x14ac:dyDescent="0.2">
      <c r="A21" s="22">
        <v>44840</v>
      </c>
      <c r="B21" s="15">
        <v>2.6799999999999997</v>
      </c>
      <c r="D21" s="22">
        <v>44840</v>
      </c>
      <c r="E21" s="18">
        <v>20</v>
      </c>
      <c r="J21" t="str">
        <f>"Year "&amp;YEAR(A4)</f>
        <v>Year 2022</v>
      </c>
      <c r="N21" s="22">
        <v>44834</v>
      </c>
      <c r="O21" s="15">
        <v>-1.858299999999999</v>
      </c>
    </row>
    <row r="22" spans="1:28" x14ac:dyDescent="0.2">
      <c r="A22" s="22">
        <v>44841</v>
      </c>
      <c r="B22" s="15">
        <v>3.0599999999999987</v>
      </c>
      <c r="D22" s="22">
        <v>44841</v>
      </c>
      <c r="E22" s="18">
        <v>38</v>
      </c>
      <c r="G22" s="16" t="s">
        <v>354</v>
      </c>
      <c r="H22" t="s">
        <v>358</v>
      </c>
      <c r="N22" s="22">
        <v>44833</v>
      </c>
      <c r="O22" s="15">
        <v>3.04</v>
      </c>
      <c r="V22" s="23"/>
      <c r="W22" s="18"/>
      <c r="AB22" s="39"/>
    </row>
    <row r="23" spans="1:28" x14ac:dyDescent="0.2">
      <c r="A23" s="22">
        <v>44842</v>
      </c>
      <c r="B23" s="15">
        <v>6.9999999999999396E-2</v>
      </c>
      <c r="D23" s="22">
        <v>44842</v>
      </c>
      <c r="E23" s="18">
        <v>28</v>
      </c>
      <c r="G23" s="17" t="s">
        <v>414</v>
      </c>
      <c r="H23" s="15">
        <v>-31.029280000000004</v>
      </c>
      <c r="N23" s="22">
        <v>44832</v>
      </c>
      <c r="O23" s="15">
        <v>1.4400000000000004</v>
      </c>
    </row>
    <row r="24" spans="1:28" x14ac:dyDescent="0.2">
      <c r="A24" s="22">
        <v>44843</v>
      </c>
      <c r="B24" s="15">
        <v>-30.73</v>
      </c>
      <c r="D24" s="22">
        <v>44843</v>
      </c>
      <c r="E24" s="18">
        <v>51.07</v>
      </c>
      <c r="G24" s="17" t="s">
        <v>370</v>
      </c>
      <c r="H24" s="15">
        <v>20.97570000000001</v>
      </c>
      <c r="N24" s="22">
        <v>44831</v>
      </c>
      <c r="O24" s="15">
        <v>13.327999999999999</v>
      </c>
    </row>
    <row r="25" spans="1:28" x14ac:dyDescent="0.2">
      <c r="A25" s="22">
        <v>44844</v>
      </c>
      <c r="B25" s="15">
        <v>-4.5599999999999987</v>
      </c>
      <c r="D25" s="22">
        <v>44844</v>
      </c>
      <c r="E25" s="18">
        <v>44</v>
      </c>
      <c r="G25" s="17" t="s">
        <v>360</v>
      </c>
      <c r="H25" s="15">
        <v>-10.053579999999993</v>
      </c>
      <c r="N25" s="22">
        <v>44830</v>
      </c>
      <c r="O25" s="15">
        <v>0.99664000000000019</v>
      </c>
    </row>
    <row r="26" spans="1:28" x14ac:dyDescent="0.2">
      <c r="A26" s="22">
        <v>44845</v>
      </c>
      <c r="B26" s="15">
        <v>9.0120000000000005</v>
      </c>
      <c r="D26" s="22">
        <v>44845</v>
      </c>
      <c r="E26" s="18">
        <v>50</v>
      </c>
      <c r="N26" s="22">
        <v>44829</v>
      </c>
      <c r="O26" s="15">
        <v>-12.259919999999999</v>
      </c>
    </row>
    <row r="27" spans="1:28" x14ac:dyDescent="0.2">
      <c r="A27" s="22">
        <v>44846</v>
      </c>
      <c r="B27" s="15">
        <v>21.728000000000002</v>
      </c>
      <c r="D27" s="22">
        <v>44846</v>
      </c>
      <c r="E27" s="18">
        <v>32</v>
      </c>
      <c r="G27" s="16" t="s">
        <v>354</v>
      </c>
      <c r="H27" t="s">
        <v>415</v>
      </c>
      <c r="N27" s="22">
        <v>44828</v>
      </c>
      <c r="O27" s="15">
        <v>-18.38</v>
      </c>
    </row>
    <row r="28" spans="1:28" x14ac:dyDescent="0.2">
      <c r="A28" s="22">
        <v>44847</v>
      </c>
      <c r="B28" s="15">
        <v>-4.7839999999999998</v>
      </c>
      <c r="D28" s="22">
        <v>44847</v>
      </c>
      <c r="E28" s="18">
        <v>24</v>
      </c>
      <c r="G28" s="17" t="s">
        <v>18</v>
      </c>
      <c r="H28" s="18">
        <v>138</v>
      </c>
      <c r="N28" s="22">
        <v>44827</v>
      </c>
      <c r="O28" s="15">
        <v>-24.104000000000003</v>
      </c>
    </row>
    <row r="29" spans="1:28" x14ac:dyDescent="0.2">
      <c r="A29" s="22">
        <v>44848</v>
      </c>
      <c r="B29" s="15">
        <v>9.48</v>
      </c>
      <c r="D29" s="22">
        <v>44848</v>
      </c>
      <c r="E29" s="18">
        <v>56</v>
      </c>
      <c r="G29" s="17" t="s">
        <v>19</v>
      </c>
      <c r="H29" s="18">
        <v>90</v>
      </c>
      <c r="N29" s="22">
        <v>44826</v>
      </c>
      <c r="O29" s="15">
        <v>-8.8199999999999985</v>
      </c>
    </row>
    <row r="30" spans="1:28" x14ac:dyDescent="0.2">
      <c r="A30" s="22">
        <v>44849</v>
      </c>
      <c r="B30" s="15">
        <v>12.991999999999997</v>
      </c>
      <c r="D30" s="22">
        <v>44849</v>
      </c>
      <c r="E30" s="18">
        <v>74</v>
      </c>
      <c r="G30" s="17" t="s">
        <v>360</v>
      </c>
      <c r="H30" s="18">
        <v>228</v>
      </c>
      <c r="N30" s="22">
        <v>44825</v>
      </c>
      <c r="O30" s="15">
        <v>21.508000000000003</v>
      </c>
    </row>
    <row r="31" spans="1:28" x14ac:dyDescent="0.2">
      <c r="A31" s="22">
        <v>44850</v>
      </c>
      <c r="B31" s="15">
        <v>-7.9119999999999981</v>
      </c>
      <c r="D31" s="22">
        <v>44850</v>
      </c>
      <c r="E31" s="18">
        <v>92</v>
      </c>
      <c r="N31" s="22">
        <v>44824</v>
      </c>
      <c r="O31" s="15">
        <v>-6.64</v>
      </c>
    </row>
    <row r="32" spans="1:28" x14ac:dyDescent="0.2">
      <c r="A32" s="22">
        <v>44851</v>
      </c>
      <c r="B32" s="15">
        <v>0</v>
      </c>
      <c r="D32" s="22">
        <v>44851</v>
      </c>
      <c r="E32" s="18">
        <v>8</v>
      </c>
      <c r="N32" s="22">
        <v>44822</v>
      </c>
      <c r="O32" s="15">
        <v>5.3680000000000003</v>
      </c>
    </row>
    <row r="33" spans="1:5" x14ac:dyDescent="0.2">
      <c r="A33" s="22" t="s">
        <v>360</v>
      </c>
      <c r="B33" s="15">
        <v>-10.05358</v>
      </c>
      <c r="D33" s="22" t="s">
        <v>360</v>
      </c>
      <c r="E33" s="18">
        <v>964.96000000000015</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G3" sqref="G3"/>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6</v>
      </c>
      <c r="G2" s="10" t="s">
        <v>17</v>
      </c>
      <c r="I2" t="s">
        <v>351</v>
      </c>
      <c r="J2" s="2"/>
      <c r="K2" t="s">
        <v>32</v>
      </c>
    </row>
    <row r="3" spans="1:11" x14ac:dyDescent="0.2">
      <c r="A3" s="10" t="s">
        <v>4</v>
      </c>
      <c r="B3" s="2"/>
      <c r="C3" s="10" t="s">
        <v>5</v>
      </c>
      <c r="E3" s="10" t="s">
        <v>369</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454</v>
      </c>
    </row>
  </sheetData>
  <pageMargins left="0.7" right="0.7" top="0.75" bottom="0.75" header="0.3" footer="0.3"/>
  <drawing r:id="rId1"/>
  <legacyDrawing r:id="rId2"/>
  <controls>
    <mc:AlternateContent xmlns:mc="http://schemas.openxmlformats.org/markup-compatibility/2006">
      <mc:Choice Requires="x14">
        <control shapeId="1025" r:id="rId3" name="addSport">
          <controlPr defaultSize="0" autoLine="0" r:id="rId4">
            <anchor moveWithCells="1">
              <from>
                <xdr:col>1</xdr:col>
                <xdr:colOff>28575</xdr:colOff>
                <xdr:row>0</xdr:row>
                <xdr:rowOff>38100</xdr:rowOff>
              </from>
              <to>
                <xdr:col>1</xdr:col>
                <xdr:colOff>1295400</xdr:colOff>
                <xdr:row>1</xdr:row>
                <xdr:rowOff>133350</xdr:rowOff>
              </to>
            </anchor>
          </controlPr>
        </control>
      </mc:Choice>
      <mc:Fallback>
        <control shapeId="1025" r:id="rId3" name="addSport"/>
      </mc:Fallback>
    </mc:AlternateContent>
    <mc:AlternateContent xmlns:mc="http://schemas.openxmlformats.org/markup-compatibility/2006">
      <mc:Choice Requires="x14">
        <control shapeId="1027" r:id="rId5" name="removeSport">
          <controlPr defaultSize="0" autoLine="0" r:id="rId6">
            <anchor moveWithCells="1">
              <from>
                <xdr:col>1</xdr:col>
                <xdr:colOff>28575</xdr:colOff>
                <xdr:row>2</xdr:row>
                <xdr:rowOff>0</xdr:rowOff>
              </from>
              <to>
                <xdr:col>1</xdr:col>
                <xdr:colOff>1295400</xdr:colOff>
                <xdr:row>3</xdr:row>
                <xdr:rowOff>123825</xdr:rowOff>
              </to>
            </anchor>
          </controlPr>
        </control>
      </mc:Choice>
      <mc:Fallback>
        <control shapeId="1027" r:id="rId5" name="removeSport"/>
      </mc:Fallback>
    </mc:AlternateContent>
    <mc:AlternateContent xmlns:mc="http://schemas.openxmlformats.org/markup-compatibility/2006">
      <mc:Choice Requires="x14">
        <control shapeId="1028" r:id="rId7" name="addBetType">
          <controlPr defaultSize="0" autoLine="0" r:id="rId8">
            <anchor moveWithCells="1">
              <from>
                <xdr:col>3</xdr:col>
                <xdr:colOff>28575</xdr:colOff>
                <xdr:row>0</xdr:row>
                <xdr:rowOff>38100</xdr:rowOff>
              </from>
              <to>
                <xdr:col>3</xdr:col>
                <xdr:colOff>1295400</xdr:colOff>
                <xdr:row>1</xdr:row>
                <xdr:rowOff>133350</xdr:rowOff>
              </to>
            </anchor>
          </controlPr>
        </control>
      </mc:Choice>
      <mc:Fallback>
        <control shapeId="1028" r:id="rId7" name="addBetType"/>
      </mc:Fallback>
    </mc:AlternateContent>
    <mc:AlternateContent xmlns:mc="http://schemas.openxmlformats.org/markup-compatibility/2006">
      <mc:Choice Requires="x14">
        <control shapeId="1029" r:id="rId9" name="removeBetType">
          <controlPr defaultSize="0" autoLine="0" r:id="rId10">
            <anchor moveWithCells="1">
              <from>
                <xdr:col>3</xdr:col>
                <xdr:colOff>28575</xdr:colOff>
                <xdr:row>2</xdr:row>
                <xdr:rowOff>0</xdr:rowOff>
              </from>
              <to>
                <xdr:col>3</xdr:col>
                <xdr:colOff>1295400</xdr:colOff>
                <xdr:row>3</xdr:row>
                <xdr:rowOff>123825</xdr:rowOff>
              </to>
            </anchor>
          </controlPr>
        </control>
      </mc:Choice>
      <mc:Fallback>
        <control shapeId="1029" r:id="rId9" name="removeBetType"/>
      </mc:Fallback>
    </mc:AlternateContent>
    <mc:AlternateContent xmlns:mc="http://schemas.openxmlformats.org/markup-compatibility/2006">
      <mc:Choice Requires="x14">
        <control shapeId="1030" r:id="rId11" name="addTipster">
          <controlPr defaultSize="0" autoLine="0" r:id="rId12">
            <anchor moveWithCells="1">
              <from>
                <xdr:col>5</xdr:col>
                <xdr:colOff>38100</xdr:colOff>
                <xdr:row>0</xdr:row>
                <xdr:rowOff>38100</xdr:rowOff>
              </from>
              <to>
                <xdr:col>5</xdr:col>
                <xdr:colOff>1304925</xdr:colOff>
                <xdr:row>1</xdr:row>
                <xdr:rowOff>133350</xdr:rowOff>
              </to>
            </anchor>
          </controlPr>
        </control>
      </mc:Choice>
      <mc:Fallback>
        <control shapeId="1030" r:id="rId11" name="addTipster"/>
      </mc:Fallback>
    </mc:AlternateContent>
    <mc:AlternateContent xmlns:mc="http://schemas.openxmlformats.org/markup-compatibility/2006">
      <mc:Choice Requires="x14">
        <control shapeId="1031" r:id="rId13" name="removeTipster">
          <controlPr defaultSize="0" autoLine="0" r:id="rId14">
            <anchor moveWithCells="1">
              <from>
                <xdr:col>5</xdr:col>
                <xdr:colOff>38100</xdr:colOff>
                <xdr:row>2</xdr:row>
                <xdr:rowOff>0</xdr:rowOff>
              </from>
              <to>
                <xdr:col>5</xdr:col>
                <xdr:colOff>1304925</xdr:colOff>
                <xdr:row>3</xdr:row>
                <xdr:rowOff>123825</xdr:rowOff>
              </to>
            </anchor>
          </controlPr>
        </control>
      </mc:Choice>
      <mc:Fallback>
        <control shapeId="1031" r:id="rId13" name="removeTipster"/>
      </mc:Fallback>
    </mc:AlternateContent>
    <mc:AlternateContent xmlns:mc="http://schemas.openxmlformats.org/markup-compatibility/2006">
      <mc:Choice Requires="x14">
        <control shapeId="1032" r:id="rId15" name="addBetOutcome">
          <controlPr defaultSize="0" autoLine="0" r:id="rId16">
            <anchor moveWithCells="1">
              <from>
                <xdr:col>7</xdr:col>
                <xdr:colOff>38100</xdr:colOff>
                <xdr:row>0</xdr:row>
                <xdr:rowOff>38100</xdr:rowOff>
              </from>
              <to>
                <xdr:col>7</xdr:col>
                <xdr:colOff>1304925</xdr:colOff>
                <xdr:row>1</xdr:row>
                <xdr:rowOff>133350</xdr:rowOff>
              </to>
            </anchor>
          </controlPr>
        </control>
      </mc:Choice>
      <mc:Fallback>
        <control shapeId="1032" r:id="rId15" name="addBetOutcome"/>
      </mc:Fallback>
    </mc:AlternateContent>
    <mc:AlternateContent xmlns:mc="http://schemas.openxmlformats.org/markup-compatibility/2006">
      <mc:Choice Requires="x14">
        <control shapeId="1033" r:id="rId17" name="removeBetOutcome">
          <controlPr defaultSize="0" autoLine="0" r:id="rId18">
            <anchor moveWithCells="1">
              <from>
                <xdr:col>7</xdr:col>
                <xdr:colOff>38100</xdr:colOff>
                <xdr:row>2</xdr:row>
                <xdr:rowOff>0</xdr:rowOff>
              </from>
              <to>
                <xdr:col>7</xdr:col>
                <xdr:colOff>1304925</xdr:colOff>
                <xdr:row>3</xdr:row>
                <xdr:rowOff>123825</xdr:rowOff>
              </to>
            </anchor>
          </controlPr>
        </control>
      </mc:Choice>
      <mc:Fallback>
        <control shapeId="1033" r:id="rId17" name="removeBetOutcome"/>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DB36CFA2-3D75-4A08-9C18-D8BE2D29B8AA}">
  <ds:schemaRefs/>
</ds:datastoreItem>
</file>

<file path=customXml/itemProps2.xml><?xml version="1.0" encoding="utf-8"?>
<ds:datastoreItem xmlns:ds="http://schemas.openxmlformats.org/officeDocument/2006/customXml" ds:itemID="{410FA68E-17C3-41F8-8D20-282FCC5FF376}">
  <ds:schemaRefs/>
</ds:datastoreItem>
</file>

<file path=customXml/itemProps3.xml><?xml version="1.0" encoding="utf-8"?>
<ds:datastoreItem xmlns:ds="http://schemas.openxmlformats.org/officeDocument/2006/customXml" ds:itemID="{90FD214D-4A5E-48F1-83E8-84DC0D55AC45}">
  <ds:schemaRefs>
    <ds:schemaRef ds:uri="http://schemas.microsoft.com/DataMashup"/>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5CE856D1-5F94-41EB-A16F-8A32BA18F4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2022-10-17T15:13:05Z</dcterms:modified>
</cp:coreProperties>
</file>