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TMO\semester3\physics\lab 1.01\"/>
    </mc:Choice>
  </mc:AlternateContent>
  <xr:revisionPtr revIDLastSave="0" documentId="13_ncr:1_{ADBCA788-687F-41F6-8EB4-A98FE7AB0A57}" xr6:coauthVersionLast="47" xr6:coauthVersionMax="47" xr10:uidLastSave="{00000000-0000-0000-0000-000000000000}"/>
  <bookViews>
    <workbookView xWindow="5220" yWindow="1260" windowWidth="12300" windowHeight="8976" xr2:uid="{D9759224-6FB3-442A-8AE2-9A86D82DE78D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" i="1" l="1"/>
  <c r="B76" i="1"/>
  <c r="B75" i="1"/>
  <c r="P57" i="1"/>
  <c r="A64" i="1"/>
  <c r="B61" i="1"/>
  <c r="C61" i="1" s="1"/>
  <c r="C62" i="1" s="1"/>
  <c r="A54" i="1"/>
  <c r="C20" i="1" s="1"/>
  <c r="D20" i="1" s="1"/>
  <c r="F60" i="1"/>
  <c r="H60" i="1" s="1"/>
  <c r="A60" i="1"/>
  <c r="F67" i="1" s="1"/>
  <c r="H73" i="1" s="1"/>
  <c r="A59" i="1"/>
  <c r="C35" i="1" l="1"/>
  <c r="D35" i="1" s="1"/>
  <c r="C15" i="1"/>
  <c r="D15" i="1" s="1"/>
  <c r="C34" i="1"/>
  <c r="D34" i="1" s="1"/>
  <c r="C33" i="1"/>
  <c r="D33" i="1" s="1"/>
  <c r="C13" i="1"/>
  <c r="D13" i="1" s="1"/>
  <c r="C32" i="1"/>
  <c r="D32" i="1" s="1"/>
  <c r="C51" i="1"/>
  <c r="D51" i="1" s="1"/>
  <c r="C30" i="1"/>
  <c r="D30" i="1" s="1"/>
  <c r="C10" i="1"/>
  <c r="D10" i="1" s="1"/>
  <c r="C49" i="1"/>
  <c r="D49" i="1" s="1"/>
  <c r="C29" i="1"/>
  <c r="D29" i="1" s="1"/>
  <c r="C9" i="1"/>
  <c r="D9" i="1" s="1"/>
  <c r="C48" i="1"/>
  <c r="D48" i="1" s="1"/>
  <c r="C28" i="1"/>
  <c r="D28" i="1" s="1"/>
  <c r="C4" i="1"/>
  <c r="D4" i="1" s="1"/>
  <c r="C14" i="1"/>
  <c r="D14" i="1" s="1"/>
  <c r="C5" i="1"/>
  <c r="D5" i="1" s="1"/>
  <c r="C52" i="1"/>
  <c r="D52" i="1" s="1"/>
  <c r="C12" i="1"/>
  <c r="D12" i="1" s="1"/>
  <c r="C31" i="1"/>
  <c r="D31" i="1" s="1"/>
  <c r="C11" i="1"/>
  <c r="D11" i="1" s="1"/>
  <c r="C50" i="1"/>
  <c r="D50" i="1" s="1"/>
  <c r="C47" i="1"/>
  <c r="D47" i="1" s="1"/>
  <c r="C27" i="1"/>
  <c r="D27" i="1" s="1"/>
  <c r="C26" i="1"/>
  <c r="D26" i="1" s="1"/>
  <c r="C41" i="1"/>
  <c r="D41" i="1" s="1"/>
  <c r="C17" i="1"/>
  <c r="D17" i="1" s="1"/>
  <c r="C45" i="1"/>
  <c r="D45" i="1" s="1"/>
  <c r="C25" i="1"/>
  <c r="D25" i="1" s="1"/>
  <c r="C43" i="1"/>
  <c r="D43" i="1" s="1"/>
  <c r="C19" i="1"/>
  <c r="D19" i="1" s="1"/>
  <c r="C42" i="1"/>
  <c r="D42" i="1" s="1"/>
  <c r="C18" i="1"/>
  <c r="D18" i="1" s="1"/>
  <c r="C36" i="1"/>
  <c r="D36" i="1" s="1"/>
  <c r="C16" i="1"/>
  <c r="D16" i="1" s="1"/>
  <c r="C46" i="1"/>
  <c r="D46" i="1" s="1"/>
  <c r="C44" i="1"/>
  <c r="D44" i="1" s="1"/>
  <c r="F61" i="1"/>
  <c r="F62" i="1" s="1"/>
  <c r="F63" i="1"/>
  <c r="H63" i="1"/>
  <c r="H64" i="1"/>
  <c r="H62" i="1"/>
  <c r="H61" i="1"/>
  <c r="K60" i="1" s="1"/>
  <c r="C40" i="1"/>
  <c r="D40" i="1" s="1"/>
  <c r="C24" i="1"/>
  <c r="D24" i="1" s="1"/>
  <c r="C8" i="1"/>
  <c r="D8" i="1" s="1"/>
  <c r="C1" i="1"/>
  <c r="C39" i="1"/>
  <c r="D39" i="1" s="1"/>
  <c r="C23" i="1"/>
  <c r="D23" i="1" s="1"/>
  <c r="C7" i="1"/>
  <c r="D7" i="1" s="1"/>
  <c r="C3" i="1"/>
  <c r="D3" i="1" s="1"/>
  <c r="C38" i="1"/>
  <c r="D38" i="1" s="1"/>
  <c r="C22" i="1"/>
  <c r="D22" i="1" s="1"/>
  <c r="C6" i="1"/>
  <c r="D6" i="1" s="1"/>
  <c r="C2" i="1"/>
  <c r="D2" i="1" s="1"/>
  <c r="C37" i="1"/>
  <c r="D37" i="1" s="1"/>
  <c r="C21" i="1"/>
  <c r="D21" i="1" s="1"/>
  <c r="I60" i="1" l="1"/>
  <c r="J60" i="1" s="1"/>
  <c r="B54" i="1"/>
  <c r="D1" i="1"/>
  <c r="F54" i="1" s="1"/>
  <c r="C54" i="1" s="1"/>
  <c r="O61" i="1" s="1"/>
  <c r="K62" i="1"/>
  <c r="I62" i="1"/>
  <c r="J62" i="1" s="1"/>
  <c r="F64" i="1"/>
  <c r="F65" i="1" s="1"/>
  <c r="F66" i="1" s="1"/>
  <c r="H65" i="1"/>
  <c r="K64" i="1" s="1"/>
  <c r="I64" i="1" l="1"/>
  <c r="J64" i="1" s="1"/>
  <c r="E57" i="1"/>
  <c r="L64" i="1"/>
  <c r="H66" i="1"/>
  <c r="L60" i="1" l="1"/>
  <c r="L62" i="1"/>
  <c r="C55" i="1"/>
  <c r="P63" i="1"/>
  <c r="O62" i="1"/>
  <c r="Q62" i="1" s="1"/>
  <c r="R62" i="1" s="1"/>
  <c r="P62" i="1"/>
  <c r="P61" i="1"/>
  <c r="Q61" i="1" s="1"/>
  <c r="R61" i="1" s="1"/>
  <c r="O63" i="1"/>
  <c r="Q63" i="1" s="1"/>
  <c r="R63" i="1" s="1"/>
  <c r="H68" i="1"/>
  <c r="H67" i="1"/>
  <c r="K66" i="1" s="1"/>
  <c r="L66" i="1" l="1"/>
  <c r="I66" i="1"/>
  <c r="J66" i="1" s="1"/>
  <c r="H70" i="1"/>
  <c r="H69" i="1"/>
  <c r="K68" i="1" s="1"/>
  <c r="L68" i="1" s="1"/>
  <c r="I68" i="1" l="1"/>
  <c r="J68" i="1" s="1"/>
  <c r="H72" i="1"/>
  <c r="H71" i="1"/>
  <c r="I70" i="1" s="1"/>
  <c r="J70" i="1" s="1"/>
  <c r="I72" i="1" l="1"/>
  <c r="J72" i="1" s="1"/>
  <c r="J76" i="1" s="1"/>
  <c r="K72" i="1"/>
  <c r="K70" i="1"/>
  <c r="L70" i="1" s="1"/>
  <c r="L72" i="1"/>
</calcChain>
</file>

<file path=xl/sharedStrings.xml><?xml version="1.0" encoding="utf-8"?>
<sst xmlns="http://schemas.openxmlformats.org/spreadsheetml/2006/main" count="15" uniqueCount="15">
  <si>
    <t>t+-a</t>
  </si>
  <si>
    <t>t+-2a</t>
  </si>
  <si>
    <t>t+-3a</t>
  </si>
  <si>
    <t>𝜎𝑁</t>
  </si>
  <si>
    <t>𝜌𝑚𝑎𝑥</t>
  </si>
  <si>
    <t>∑︀ (𝑡𝑖 − ⟨𝑡⟩_𝑁)^2</t>
  </si>
  <si>
    <t>Границы интервалов, c</t>
  </si>
  <si>
    <t xml:space="preserve">∆𝑁 </t>
  </si>
  <si>
    <t xml:space="preserve">Δ𝑁/ (𝑁 Δ𝑡) , c^(-1) </t>
  </si>
  <si>
    <t xml:space="preserve">𝑡, c </t>
  </si>
  <si>
    <t>𝜌, c^(-1)</t>
  </si>
  <si>
    <t>Δ𝑡</t>
  </si>
  <si>
    <t>𝑁 Δ𝑡</t>
  </si>
  <si>
    <t>∑︀ (𝑡_𝑖 − ⟨𝑡⟩_𝑁)</t>
  </si>
  <si>
    <t>⟨𝑡⟩_𝑁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</si>
</sst>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E+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</cellXfs>
  <cellStyles count="2">
    <cellStyle name="Обычный" xfId="0" builtinId="0"/>
    <cellStyle name="Обычный 2" xfId="1" xr:uid="{C6213ED0-D070-45AA-84A8-491CB4094B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случайной величины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Экспериментальные данные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Лист1!$K$60:$K$73</c:f>
              <c:numCache>
                <c:formatCode>0.00</c:formatCode>
                <c:ptCount val="14"/>
                <c:pt idx="0">
                  <c:v>1.375</c:v>
                </c:pt>
                <c:pt idx="2">
                  <c:v>1.4450000000000003</c:v>
                </c:pt>
                <c:pt idx="4">
                  <c:v>1.5150000000000001</c:v>
                </c:pt>
                <c:pt idx="6">
                  <c:v>1.5850000000000004</c:v>
                </c:pt>
                <c:pt idx="8">
                  <c:v>1.6550000000000002</c:v>
                </c:pt>
                <c:pt idx="10">
                  <c:v>1.7250000000000005</c:v>
                </c:pt>
                <c:pt idx="12">
                  <c:v>1.7950000000000004</c:v>
                </c:pt>
              </c:numCache>
            </c:numRef>
          </c:cat>
          <c:val>
            <c:numRef>
              <c:f>Лист1!$J$60:$J$73</c:f>
              <c:numCache>
                <c:formatCode>0.000</c:formatCode>
                <c:ptCount val="14"/>
                <c:pt idx="0">
                  <c:v>3.6982248520710068E-2</c:v>
                </c:pt>
                <c:pt idx="2">
                  <c:v>3.6982248520710068E-2</c:v>
                </c:pt>
                <c:pt idx="4">
                  <c:v>9.5097210481825886E-2</c:v>
                </c:pt>
                <c:pt idx="6">
                  <c:v>8.9814032121724438E-2</c:v>
                </c:pt>
                <c:pt idx="8">
                  <c:v>9.5097210481825886E-2</c:v>
                </c:pt>
                <c:pt idx="10">
                  <c:v>2.6415891800507189E-2</c:v>
                </c:pt>
                <c:pt idx="12">
                  <c:v>1.5849535080304313E-2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9-4EF6-BA8C-E2CC60968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0624496"/>
        <c:axId val="1486465056"/>
      </c:barChart>
      <c:scatterChart>
        <c:scatterStyle val="smoothMarker"/>
        <c:varyColors val="0"/>
        <c:ser>
          <c:idx val="1"/>
          <c:order val="1"/>
          <c:tx>
            <c:v>Идеальное нормальное распределение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(Лист1!$K$60,Лист1!$K$62,Лист1!$K$64,Лист1!$K$66,Лист1!$K$68,Лист1!$K$70,Лист1!$K$72)</c:f>
              <c:numCache>
                <c:formatCode>0.00</c:formatCode>
                <c:ptCount val="7"/>
                <c:pt idx="0">
                  <c:v>1.375</c:v>
                </c:pt>
                <c:pt idx="1">
                  <c:v>1.4450000000000003</c:v>
                </c:pt>
                <c:pt idx="2">
                  <c:v>1.5150000000000001</c:v>
                </c:pt>
                <c:pt idx="3">
                  <c:v>1.5850000000000004</c:v>
                </c:pt>
                <c:pt idx="4">
                  <c:v>1.6550000000000002</c:v>
                </c:pt>
                <c:pt idx="5">
                  <c:v>1.7250000000000005</c:v>
                </c:pt>
                <c:pt idx="6">
                  <c:v>1.7950000000000004</c:v>
                </c:pt>
              </c:numCache>
            </c:numRef>
          </c:xVal>
          <c:yVal>
            <c:numRef>
              <c:f>(Лист1!$L$60,Лист1!$L$62,Лист1!$L$64,Лист1!$L$66,Лист1!$L$68,Лист1!$L$70,Лист1!$L$72)</c:f>
              <c:numCache>
                <c:formatCode>0.000</c:formatCode>
                <c:ptCount val="7"/>
                <c:pt idx="0">
                  <c:v>0.58120180550678435</c:v>
                </c:pt>
                <c:pt idx="1">
                  <c:v>1.7673656960699256</c:v>
                </c:pt>
                <c:pt idx="2">
                  <c:v>3.3361444323866944</c:v>
                </c:pt>
                <c:pt idx="3">
                  <c:v>3.909148999761344</c:v>
                </c:pt>
                <c:pt idx="4">
                  <c:v>2.8434039383406597</c:v>
                </c:pt>
                <c:pt idx="5">
                  <c:v>1.2838487238011496</c:v>
                </c:pt>
                <c:pt idx="6">
                  <c:v>0.35983889420544762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59-4EF6-BA8C-E2CC60968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529920"/>
        <c:axId val="1670283552"/>
      </c:scatterChart>
      <c:catAx>
        <c:axId val="18306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𝑡, c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833564032161684"/>
              <c:y val="0.79105935512850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465056"/>
        <c:crosses val="autoZero"/>
        <c:auto val="1"/>
        <c:lblAlgn val="ctr"/>
        <c:lblOffset val="100"/>
        <c:noMultiLvlLbl val="0"/>
      </c:catAx>
      <c:valAx>
        <c:axId val="14864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Δ𝑁/ (𝑁 Δ𝑡) , </a:t>
                </a:r>
                <a:r>
                  <a:rPr lang="en-US" sz="1000" b="0" i="0" u="none" strike="noStrike" baseline="0">
                    <a:effectLst/>
                  </a:rPr>
                  <a:t>c^(-1)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624496"/>
        <c:crosses val="autoZero"/>
        <c:crossBetween val="between"/>
      </c:valAx>
      <c:valAx>
        <c:axId val="1670283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𝜌, c^(-1)</a:t>
                </a:r>
                <a:r>
                  <a:rPr lang="en-US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529920"/>
        <c:crosses val="max"/>
        <c:crossBetween val="midCat"/>
      </c:valAx>
      <c:valAx>
        <c:axId val="1237529920"/>
        <c:scaling>
          <c:orientation val="minMax"/>
          <c:max val="1.8460000000000001"/>
          <c:min val="1.359"/>
        </c:scaling>
        <c:delete val="0"/>
        <c:axPos val="t"/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28355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1036320</xdr:colOff>
      <xdr:row>36</xdr:row>
      <xdr:rowOff>102870</xdr:rowOff>
    </xdr:from>
    <xdr:to>
      <xdr:col>15</xdr:col>
      <xdr:colOff>106680</xdr:colOff>
      <xdr:row>52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00F39A-FF75-4F4F-8478-93A85C07A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FBD3-E42C-453C-B7F7-682F7126A0CD}">
  <dimension ref="A1:T77"/>
  <sheetViews>
    <sheetView tabSelected="1" topLeftCell="A67" zoomScaleNormal="100" workbookViewId="0">
      <selection activeCell="C75" sqref="C75"/>
    </sheetView>
  </sheetViews>
  <sheetFormatPr defaultRowHeight="14.4" x14ac:dyDescent="0.3"/>
  <cols>
    <col min="2" max="2" width="12.6640625" bestFit="1" customWidth="1"/>
    <col min="3" max="3" width="9.88671875" bestFit="1" customWidth="1"/>
    <col min="4" max="4" width="9.44140625" bestFit="1" customWidth="1"/>
    <col min="6" max="6" width="13.6640625" bestFit="1" customWidth="1"/>
    <col min="8" max="8" width="21.109375" bestFit="1" customWidth="1"/>
    <col min="10" max="10" width="16.21875" bestFit="1" customWidth="1"/>
  </cols>
  <sheetData>
    <row r="1" spans="1:4" x14ac:dyDescent="0.3">
      <c r="A1" s="1">
        <v>1</v>
      </c>
      <c r="B1" s="3">
        <v>1.51</v>
      </c>
      <c r="C1" s="3">
        <f>B1-$A$54</f>
        <v>-6.3269230769231077E-2</v>
      </c>
      <c r="D1" s="5">
        <f>C1*C1</f>
        <v>4.0029955621302162E-3</v>
      </c>
    </row>
    <row r="2" spans="1:4" x14ac:dyDescent="0.3">
      <c r="A2" s="1">
        <v>2</v>
      </c>
      <c r="B2" s="3">
        <v>1.37</v>
      </c>
      <c r="C2" s="3">
        <f t="shared" ref="C2:C52" si="0">B2-$A$54</f>
        <v>-0.20326923076923098</v>
      </c>
      <c r="D2" s="5">
        <f t="shared" ref="D2:D52" si="1">C2*C2</f>
        <v>4.131838017751488E-2</v>
      </c>
    </row>
    <row r="3" spans="1:4" x14ac:dyDescent="0.3">
      <c r="A3" s="1">
        <v>3</v>
      </c>
      <c r="B3" s="3">
        <v>1.66</v>
      </c>
      <c r="C3" s="3">
        <f t="shared" si="0"/>
        <v>8.6730769230768834E-2</v>
      </c>
      <c r="D3" s="5">
        <f t="shared" si="1"/>
        <v>7.5222263313608779E-3</v>
      </c>
    </row>
    <row r="4" spans="1:4" x14ac:dyDescent="0.3">
      <c r="A4" s="1">
        <v>4</v>
      </c>
      <c r="B4" s="3">
        <v>1.74</v>
      </c>
      <c r="C4" s="3">
        <f t="shared" si="0"/>
        <v>0.1667307692307689</v>
      </c>
      <c r="D4" s="5">
        <f t="shared" si="1"/>
        <v>2.7799149408283916E-2</v>
      </c>
    </row>
    <row r="5" spans="1:4" x14ac:dyDescent="0.3">
      <c r="A5" s="1">
        <v>5</v>
      </c>
      <c r="B5" s="3">
        <v>1.64</v>
      </c>
      <c r="C5" s="3">
        <f t="shared" si="0"/>
        <v>6.6730769230768816E-2</v>
      </c>
      <c r="D5" s="5">
        <f t="shared" si="1"/>
        <v>4.4529955621301224E-3</v>
      </c>
    </row>
    <row r="6" spans="1:4" x14ac:dyDescent="0.3">
      <c r="A6" s="1">
        <v>6</v>
      </c>
      <c r="B6" s="3">
        <v>1.37</v>
      </c>
      <c r="C6" s="3">
        <f t="shared" si="0"/>
        <v>-0.20326923076923098</v>
      </c>
      <c r="D6" s="5">
        <f t="shared" si="1"/>
        <v>4.131838017751488E-2</v>
      </c>
    </row>
    <row r="7" spans="1:4" x14ac:dyDescent="0.3">
      <c r="A7" s="1">
        <v>7</v>
      </c>
      <c r="B7" s="3">
        <v>1.35</v>
      </c>
      <c r="C7" s="3">
        <f t="shared" si="0"/>
        <v>-0.223269230769231</v>
      </c>
      <c r="D7" s="5">
        <f t="shared" si="1"/>
        <v>4.9849149408284124E-2</v>
      </c>
    </row>
    <row r="8" spans="1:4" x14ac:dyDescent="0.3">
      <c r="A8" s="1">
        <v>8</v>
      </c>
      <c r="B8" s="3">
        <v>1.44</v>
      </c>
      <c r="C8" s="3">
        <f t="shared" si="0"/>
        <v>-0.13326923076923114</v>
      </c>
      <c r="D8" s="5">
        <f t="shared" si="1"/>
        <v>1.7760687869822583E-2</v>
      </c>
    </row>
    <row r="9" spans="1:4" x14ac:dyDescent="0.3">
      <c r="A9" s="1">
        <v>9</v>
      </c>
      <c r="B9" s="3">
        <v>1.7</v>
      </c>
      <c r="C9" s="3">
        <f t="shared" si="0"/>
        <v>0.12673076923076887</v>
      </c>
      <c r="D9" s="5">
        <f t="shared" si="1"/>
        <v>1.6060687869822395E-2</v>
      </c>
    </row>
    <row r="10" spans="1:4" x14ac:dyDescent="0.3">
      <c r="A10" s="1">
        <v>10</v>
      </c>
      <c r="B10" s="3">
        <v>1.68</v>
      </c>
      <c r="C10" s="3">
        <f t="shared" si="0"/>
        <v>0.10673076923076885</v>
      </c>
      <c r="D10" s="5">
        <f t="shared" si="1"/>
        <v>1.1391457100591635E-2</v>
      </c>
    </row>
    <row r="11" spans="1:4" x14ac:dyDescent="0.3">
      <c r="A11" s="1">
        <v>11</v>
      </c>
      <c r="B11" s="3">
        <v>1.49</v>
      </c>
      <c r="C11" s="3">
        <f t="shared" si="0"/>
        <v>-8.3269230769231095E-2</v>
      </c>
      <c r="D11" s="5">
        <f t="shared" si="1"/>
        <v>6.9337647928994625E-3</v>
      </c>
    </row>
    <row r="12" spans="1:4" x14ac:dyDescent="0.3">
      <c r="A12" s="1">
        <v>12</v>
      </c>
      <c r="B12" s="3">
        <v>1.55</v>
      </c>
      <c r="C12" s="3">
        <f t="shared" si="0"/>
        <v>-2.3269230769231042E-2</v>
      </c>
      <c r="D12" s="5">
        <f t="shared" si="1"/>
        <v>5.414571005917287E-4</v>
      </c>
    </row>
    <row r="13" spans="1:4" x14ac:dyDescent="0.3">
      <c r="A13" s="1">
        <v>13</v>
      </c>
      <c r="B13" s="3">
        <v>1.41</v>
      </c>
      <c r="C13" s="3">
        <f t="shared" si="0"/>
        <v>-0.16326923076923117</v>
      </c>
      <c r="D13" s="5">
        <f t="shared" si="1"/>
        <v>2.6656841715976463E-2</v>
      </c>
    </row>
    <row r="14" spans="1:4" x14ac:dyDescent="0.3">
      <c r="A14" s="1">
        <v>14</v>
      </c>
      <c r="B14" s="3">
        <v>1.51</v>
      </c>
      <c r="C14" s="3">
        <f t="shared" si="0"/>
        <v>-6.3269230769231077E-2</v>
      </c>
      <c r="D14" s="5">
        <f t="shared" si="1"/>
        <v>4.0029955621302162E-3</v>
      </c>
    </row>
    <row r="15" spans="1:4" x14ac:dyDescent="0.3">
      <c r="A15" s="1">
        <v>15</v>
      </c>
      <c r="B15" s="3">
        <v>1.59</v>
      </c>
      <c r="C15" s="3">
        <f t="shared" si="0"/>
        <v>1.6730769230768994E-2</v>
      </c>
      <c r="D15" s="5">
        <f t="shared" si="1"/>
        <v>2.799186390532465E-4</v>
      </c>
    </row>
    <row r="16" spans="1:4" x14ac:dyDescent="0.3">
      <c r="A16" s="1">
        <v>16</v>
      </c>
      <c r="B16" s="3">
        <v>1.65</v>
      </c>
      <c r="C16" s="3">
        <f t="shared" si="0"/>
        <v>7.6730769230768825E-2</v>
      </c>
      <c r="D16" s="5">
        <f t="shared" si="1"/>
        <v>5.8876109467454994E-3</v>
      </c>
    </row>
    <row r="17" spans="1:4" x14ac:dyDescent="0.3">
      <c r="A17" s="1">
        <v>17</v>
      </c>
      <c r="B17" s="3">
        <v>1.5</v>
      </c>
      <c r="C17" s="3">
        <f t="shared" si="0"/>
        <v>-7.3269230769231086E-2</v>
      </c>
      <c r="D17" s="5">
        <f t="shared" si="1"/>
        <v>5.3683801775148395E-3</v>
      </c>
    </row>
    <row r="18" spans="1:4" x14ac:dyDescent="0.3">
      <c r="A18" s="1">
        <v>18</v>
      </c>
      <c r="B18" s="3">
        <v>1.63</v>
      </c>
      <c r="C18" s="3">
        <f t="shared" si="0"/>
        <v>5.6730769230768807E-2</v>
      </c>
      <c r="D18" s="5">
        <f t="shared" si="1"/>
        <v>3.2183801775147449E-3</v>
      </c>
    </row>
    <row r="19" spans="1:4" x14ac:dyDescent="0.3">
      <c r="A19" s="1">
        <v>19</v>
      </c>
      <c r="B19" s="3">
        <v>1.41</v>
      </c>
      <c r="C19" s="3">
        <f t="shared" si="0"/>
        <v>-0.16326923076923117</v>
      </c>
      <c r="D19" s="5">
        <f t="shared" si="1"/>
        <v>2.6656841715976463E-2</v>
      </c>
    </row>
    <row r="20" spans="1:4" x14ac:dyDescent="0.3">
      <c r="A20" s="1">
        <v>20</v>
      </c>
      <c r="B20" s="3">
        <v>1.65</v>
      </c>
      <c r="C20" s="3">
        <f t="shared" si="0"/>
        <v>7.6730769230768825E-2</v>
      </c>
      <c r="D20" s="5">
        <f t="shared" si="1"/>
        <v>5.8876109467454994E-3</v>
      </c>
    </row>
    <row r="21" spans="1:4" x14ac:dyDescent="0.3">
      <c r="A21" s="1">
        <v>21</v>
      </c>
      <c r="B21" s="3">
        <v>1.42</v>
      </c>
      <c r="C21" s="3">
        <f t="shared" si="0"/>
        <v>-0.15326923076923116</v>
      </c>
      <c r="D21" s="5">
        <f t="shared" si="1"/>
        <v>2.3491457100591834E-2</v>
      </c>
    </row>
    <row r="22" spans="1:4" x14ac:dyDescent="0.3">
      <c r="A22" s="1">
        <v>22</v>
      </c>
      <c r="B22" s="3">
        <v>1.44</v>
      </c>
      <c r="C22" s="3">
        <f t="shared" si="0"/>
        <v>-0.13326923076923114</v>
      </c>
      <c r="D22" s="5">
        <f t="shared" si="1"/>
        <v>1.7760687869822583E-2</v>
      </c>
    </row>
    <row r="23" spans="1:4" x14ac:dyDescent="0.3">
      <c r="A23" s="1">
        <v>23</v>
      </c>
      <c r="B23" s="3">
        <v>1.66</v>
      </c>
      <c r="C23" s="3">
        <f t="shared" si="0"/>
        <v>8.6730769230768834E-2</v>
      </c>
      <c r="D23" s="5">
        <f t="shared" si="1"/>
        <v>7.5222263313608779E-3</v>
      </c>
    </row>
    <row r="24" spans="1:4" x14ac:dyDescent="0.3">
      <c r="A24" s="1">
        <v>24</v>
      </c>
      <c r="B24" s="3">
        <v>1.58</v>
      </c>
      <c r="C24" s="3">
        <f t="shared" si="0"/>
        <v>6.7307692307689848E-3</v>
      </c>
      <c r="D24" s="5">
        <f t="shared" si="1"/>
        <v>4.5303254437866511E-5</v>
      </c>
    </row>
    <row r="25" spans="1:4" x14ac:dyDescent="0.3">
      <c r="A25" s="1">
        <v>25</v>
      </c>
      <c r="B25" s="3">
        <v>1.55</v>
      </c>
      <c r="C25" s="3">
        <f t="shared" si="0"/>
        <v>-2.3269230769231042E-2</v>
      </c>
      <c r="D25" s="5">
        <f t="shared" si="1"/>
        <v>5.414571005917287E-4</v>
      </c>
    </row>
    <row r="26" spans="1:4" x14ac:dyDescent="0.3">
      <c r="A26" s="1">
        <v>26</v>
      </c>
      <c r="B26" s="3">
        <v>1.67</v>
      </c>
      <c r="C26" s="3">
        <f t="shared" si="0"/>
        <v>9.6730769230768843E-2</v>
      </c>
      <c r="D26" s="5">
        <f t="shared" si="1"/>
        <v>9.3568417159762569E-3</v>
      </c>
    </row>
    <row r="27" spans="1:4" x14ac:dyDescent="0.3">
      <c r="A27" s="1">
        <v>27</v>
      </c>
      <c r="B27" s="3">
        <v>1.52</v>
      </c>
      <c r="C27" s="3">
        <f t="shared" si="0"/>
        <v>-5.3269230769231068E-2</v>
      </c>
      <c r="D27" s="5">
        <f t="shared" si="1"/>
        <v>2.8376109467455942E-3</v>
      </c>
    </row>
    <row r="28" spans="1:4" x14ac:dyDescent="0.3">
      <c r="A28" s="1">
        <v>28</v>
      </c>
      <c r="B28" s="3">
        <v>1.43</v>
      </c>
      <c r="C28" s="3">
        <f t="shared" si="0"/>
        <v>-0.14326923076923115</v>
      </c>
      <c r="D28" s="5">
        <f t="shared" si="1"/>
        <v>2.0526072485207211E-2</v>
      </c>
    </row>
    <row r="29" spans="1:4" x14ac:dyDescent="0.3">
      <c r="A29" s="1">
        <v>29</v>
      </c>
      <c r="B29" s="3">
        <v>1.59</v>
      </c>
      <c r="C29" s="3">
        <f t="shared" si="0"/>
        <v>1.6730769230768994E-2</v>
      </c>
      <c r="D29" s="5">
        <f t="shared" si="1"/>
        <v>2.799186390532465E-4</v>
      </c>
    </row>
    <row r="30" spans="1:4" x14ac:dyDescent="0.3">
      <c r="A30" s="1">
        <v>30</v>
      </c>
      <c r="B30" s="3">
        <v>1.37</v>
      </c>
      <c r="C30" s="3">
        <f t="shared" si="0"/>
        <v>-0.20326923076923098</v>
      </c>
      <c r="D30" s="5">
        <f t="shared" si="1"/>
        <v>4.131838017751488E-2</v>
      </c>
    </row>
    <row r="31" spans="1:4" x14ac:dyDescent="0.3">
      <c r="A31" s="1">
        <v>31</v>
      </c>
      <c r="B31" s="3">
        <v>1.83</v>
      </c>
      <c r="C31" s="3">
        <f t="shared" si="0"/>
        <v>0.25673076923076898</v>
      </c>
      <c r="D31" s="5">
        <f t="shared" si="1"/>
        <v>6.5910687869822362E-2</v>
      </c>
    </row>
    <row r="32" spans="1:4" x14ac:dyDescent="0.3">
      <c r="A32" s="1">
        <v>32</v>
      </c>
      <c r="B32" s="3">
        <v>1.66</v>
      </c>
      <c r="C32" s="3">
        <f t="shared" si="0"/>
        <v>8.6730769230768834E-2</v>
      </c>
      <c r="D32" s="5">
        <f t="shared" si="1"/>
        <v>7.5222263313608779E-3</v>
      </c>
    </row>
    <row r="33" spans="1:20" x14ac:dyDescent="0.3">
      <c r="A33" s="1">
        <v>33</v>
      </c>
      <c r="B33" s="3">
        <v>1.63</v>
      </c>
      <c r="C33" s="3">
        <f t="shared" si="0"/>
        <v>5.6730769230768807E-2</v>
      </c>
      <c r="D33" s="5">
        <f t="shared" si="1"/>
        <v>3.2183801775147449E-3</v>
      </c>
    </row>
    <row r="34" spans="1:20" x14ac:dyDescent="0.3">
      <c r="A34" s="1">
        <v>34</v>
      </c>
      <c r="B34" s="3">
        <v>1.56</v>
      </c>
      <c r="C34" s="3">
        <f t="shared" si="0"/>
        <v>-1.3269230769231033E-2</v>
      </c>
      <c r="D34" s="5">
        <f t="shared" si="1"/>
        <v>1.7607248520710758E-4</v>
      </c>
    </row>
    <row r="35" spans="1:20" x14ac:dyDescent="0.3">
      <c r="A35" s="1">
        <v>35</v>
      </c>
      <c r="B35" s="3">
        <v>1.55</v>
      </c>
      <c r="C35" s="3">
        <f t="shared" si="0"/>
        <v>-2.3269230769231042E-2</v>
      </c>
      <c r="D35" s="5">
        <f t="shared" si="1"/>
        <v>5.414571005917287E-4</v>
      </c>
    </row>
    <row r="36" spans="1:20" x14ac:dyDescent="0.3">
      <c r="A36" s="1">
        <v>36</v>
      </c>
      <c r="B36" s="3">
        <v>1.53</v>
      </c>
      <c r="C36" s="3">
        <f t="shared" si="0"/>
        <v>-4.326923076923106E-2</v>
      </c>
      <c r="D36" s="5">
        <f t="shared" si="1"/>
        <v>1.8722263313609719E-3</v>
      </c>
    </row>
    <row r="37" spans="1:20" x14ac:dyDescent="0.3">
      <c r="A37" s="1">
        <v>37</v>
      </c>
      <c r="B37" s="3">
        <v>1.67</v>
      </c>
      <c r="C37" s="3">
        <f t="shared" si="0"/>
        <v>9.6730769230768843E-2</v>
      </c>
      <c r="D37" s="5">
        <f t="shared" si="1"/>
        <v>9.3568417159762569E-3</v>
      </c>
    </row>
    <row r="38" spans="1:20" x14ac:dyDescent="0.3">
      <c r="A38" s="1">
        <v>38</v>
      </c>
      <c r="B38" s="3">
        <v>1.76</v>
      </c>
      <c r="C38" s="3">
        <f t="shared" si="0"/>
        <v>0.18673076923076892</v>
      </c>
      <c r="D38" s="5">
        <f t="shared" si="1"/>
        <v>3.4868380177514681E-2</v>
      </c>
    </row>
    <row r="39" spans="1:20" x14ac:dyDescent="0.3">
      <c r="A39" s="1">
        <v>39</v>
      </c>
      <c r="B39" s="3">
        <v>1.69</v>
      </c>
      <c r="C39" s="3">
        <f t="shared" si="0"/>
        <v>0.11673076923076886</v>
      </c>
      <c r="D39" s="5">
        <f t="shared" si="1"/>
        <v>1.3626072485207015E-2</v>
      </c>
    </row>
    <row r="40" spans="1:20" x14ac:dyDescent="0.3">
      <c r="A40" s="1">
        <v>40</v>
      </c>
      <c r="B40" s="3">
        <v>1.54</v>
      </c>
      <c r="C40" s="3">
        <f t="shared" si="0"/>
        <v>-3.3269230769231051E-2</v>
      </c>
      <c r="D40" s="5">
        <f t="shared" si="1"/>
        <v>1.1068417159763502E-3</v>
      </c>
      <c r="S40">
        <v>3.6982248520710068E-2</v>
      </c>
      <c r="T40">
        <v>1.375</v>
      </c>
    </row>
    <row r="41" spans="1:20" x14ac:dyDescent="0.3">
      <c r="A41" s="1">
        <v>41</v>
      </c>
      <c r="B41" s="3">
        <v>1.65</v>
      </c>
      <c r="C41" s="3">
        <f t="shared" si="0"/>
        <v>7.6730769230768825E-2</v>
      </c>
      <c r="D41" s="5">
        <f t="shared" si="1"/>
        <v>5.8876109467454994E-3</v>
      </c>
      <c r="S41">
        <v>3.6982248520710068E-2</v>
      </c>
      <c r="T41">
        <v>1.4450000000000003</v>
      </c>
    </row>
    <row r="42" spans="1:20" x14ac:dyDescent="0.3">
      <c r="A42" s="1">
        <v>42</v>
      </c>
      <c r="B42" s="3">
        <v>1.48</v>
      </c>
      <c r="C42" s="3">
        <f t="shared" si="0"/>
        <v>-9.3269230769231104E-2</v>
      </c>
      <c r="D42" s="5">
        <f t="shared" si="1"/>
        <v>8.6991494082840869E-3</v>
      </c>
      <c r="S42">
        <v>9.5097210481825886E-2</v>
      </c>
      <c r="T42">
        <v>1.5150000000000001</v>
      </c>
    </row>
    <row r="43" spans="1:20" x14ac:dyDescent="0.3">
      <c r="A43" s="1">
        <v>43</v>
      </c>
      <c r="B43" s="3">
        <v>1.67</v>
      </c>
      <c r="C43" s="3">
        <f t="shared" si="0"/>
        <v>9.6730769230768843E-2</v>
      </c>
      <c r="D43" s="5">
        <f t="shared" si="1"/>
        <v>9.3568417159762569E-3</v>
      </c>
      <c r="S43">
        <v>8.9814032121724438E-2</v>
      </c>
      <c r="T43">
        <v>1.5850000000000004</v>
      </c>
    </row>
    <row r="44" spans="1:20" x14ac:dyDescent="0.3">
      <c r="A44" s="1">
        <v>44</v>
      </c>
      <c r="B44" s="3">
        <v>1.59</v>
      </c>
      <c r="C44" s="3">
        <f t="shared" si="0"/>
        <v>1.6730769230768994E-2</v>
      </c>
      <c r="D44" s="5">
        <f t="shared" si="1"/>
        <v>2.799186390532465E-4</v>
      </c>
      <c r="S44">
        <v>9.5097210481825886E-2</v>
      </c>
      <c r="T44">
        <v>1.6550000000000002</v>
      </c>
    </row>
    <row r="45" spans="1:20" x14ac:dyDescent="0.3">
      <c r="A45" s="1">
        <v>45</v>
      </c>
      <c r="B45" s="3">
        <v>1.56</v>
      </c>
      <c r="C45" s="3">
        <f t="shared" si="0"/>
        <v>-1.3269230769231033E-2</v>
      </c>
      <c r="D45" s="5">
        <f t="shared" si="1"/>
        <v>1.7607248520710758E-4</v>
      </c>
      <c r="S45">
        <v>2.6415891800507189E-2</v>
      </c>
      <c r="T45">
        <v>1.7250000000000005</v>
      </c>
    </row>
    <row r="46" spans="1:20" x14ac:dyDescent="0.3">
      <c r="A46" s="1">
        <v>46</v>
      </c>
      <c r="B46" s="3">
        <v>1.63</v>
      </c>
      <c r="C46" s="3">
        <f t="shared" si="0"/>
        <v>5.6730769230768807E-2</v>
      </c>
      <c r="D46" s="5">
        <f t="shared" si="1"/>
        <v>3.2183801775147449E-3</v>
      </c>
      <c r="S46">
        <v>1.5849535080304313E-2</v>
      </c>
      <c r="T46">
        <v>1.7950000000000004</v>
      </c>
    </row>
    <row r="47" spans="1:20" x14ac:dyDescent="0.3">
      <c r="A47" s="1">
        <v>47</v>
      </c>
      <c r="B47" s="3">
        <v>1.68</v>
      </c>
      <c r="C47" s="3">
        <f t="shared" si="0"/>
        <v>0.10673076923076885</v>
      </c>
      <c r="D47" s="5">
        <f t="shared" si="1"/>
        <v>1.1391457100591635E-2</v>
      </c>
    </row>
    <row r="48" spans="1:20" x14ac:dyDescent="0.3">
      <c r="A48" s="1">
        <v>48</v>
      </c>
      <c r="B48" s="3">
        <v>1.79</v>
      </c>
      <c r="C48" s="3">
        <f t="shared" si="0"/>
        <v>0.21673076923076895</v>
      </c>
      <c r="D48" s="5">
        <f t="shared" si="1"/>
        <v>4.6972226331360827E-2</v>
      </c>
    </row>
    <row r="49" spans="1:20" x14ac:dyDescent="0.3">
      <c r="A49" s="1">
        <v>49</v>
      </c>
      <c r="B49" s="3">
        <v>1.67</v>
      </c>
      <c r="C49" s="3">
        <f t="shared" si="0"/>
        <v>9.6730769230768843E-2</v>
      </c>
      <c r="D49" s="5">
        <f t="shared" si="1"/>
        <v>9.3568417159762569E-3</v>
      </c>
    </row>
    <row r="50" spans="1:20" x14ac:dyDescent="0.3">
      <c r="A50" s="1">
        <v>50</v>
      </c>
      <c r="B50" s="3">
        <v>1.34</v>
      </c>
      <c r="C50" s="3">
        <f t="shared" si="0"/>
        <v>-0.23326923076923101</v>
      </c>
      <c r="D50" s="5">
        <f t="shared" si="1"/>
        <v>5.4414534023668748E-2</v>
      </c>
    </row>
    <row r="51" spans="1:20" x14ac:dyDescent="0.3">
      <c r="A51" s="1">
        <v>51</v>
      </c>
      <c r="B51" s="3">
        <v>1.62</v>
      </c>
      <c r="C51" s="3">
        <f t="shared" si="0"/>
        <v>4.673076923076902E-2</v>
      </c>
      <c r="D51" s="5">
        <f t="shared" si="1"/>
        <v>2.1837647928993884E-3</v>
      </c>
    </row>
    <row r="52" spans="1:20" x14ac:dyDescent="0.3">
      <c r="A52" s="1">
        <v>52</v>
      </c>
      <c r="B52" s="3">
        <v>1.63</v>
      </c>
      <c r="C52" s="3">
        <f t="shared" si="0"/>
        <v>5.6730769230768807E-2</v>
      </c>
      <c r="D52" s="5">
        <f t="shared" si="1"/>
        <v>3.2183801775147449E-3</v>
      </c>
    </row>
    <row r="53" spans="1:20" x14ac:dyDescent="0.3">
      <c r="A53" s="1"/>
      <c r="R53" s="5"/>
      <c r="S53" s="5"/>
      <c r="T53" s="5"/>
    </row>
    <row r="54" spans="1:20" x14ac:dyDescent="0.3">
      <c r="A54" s="5">
        <f>AVERAGE(B1:B52)</f>
        <v>1.5732692307692311</v>
      </c>
      <c r="B54" s="6">
        <f>SUM(C1:C52)</f>
        <v>-1.7097434579227411E-14</v>
      </c>
      <c r="C54" s="5">
        <f>SQRT(F54*F54 / 51)</f>
        <v>0.10137246882931311</v>
      </c>
      <c r="D54" t="s">
        <v>3</v>
      </c>
      <c r="F54" s="2">
        <f>SUM(D1:D52)</f>
        <v>0.72394423076923065</v>
      </c>
      <c r="R54" s="5"/>
      <c r="S54" s="5"/>
      <c r="T54" s="5"/>
    </row>
    <row r="55" spans="1:20" x14ac:dyDescent="0.3">
      <c r="A55" s="3" t="s">
        <v>14</v>
      </c>
      <c r="B55" t="s">
        <v>13</v>
      </c>
      <c r="C55" s="5">
        <f>1/(C54*SQRT(PI() * 2))</f>
        <v>3.9354105213039219</v>
      </c>
      <c r="D55" t="s">
        <v>4</v>
      </c>
      <c r="F55" t="s">
        <v>5</v>
      </c>
    </row>
    <row r="56" spans="1:20" x14ac:dyDescent="0.3">
      <c r="A56" s="3"/>
    </row>
    <row r="57" spans="1:20" x14ac:dyDescent="0.3">
      <c r="A57" s="3"/>
      <c r="E57">
        <f>SQRT(F54*F54 / (51*50))</f>
        <v>1.4336232026965844E-2</v>
      </c>
      <c r="P57">
        <f>2.01*0.017</f>
        <v>3.4169999999999999E-2</v>
      </c>
    </row>
    <row r="58" spans="1:20" x14ac:dyDescent="0.3">
      <c r="A58" s="3"/>
    </row>
    <row r="59" spans="1:20" ht="15" thickBot="1" x14ac:dyDescent="0.35">
      <c r="A59" s="3">
        <f>MIN(B1:B52)</f>
        <v>1.34</v>
      </c>
      <c r="H59" t="s">
        <v>6</v>
      </c>
      <c r="I59" t="s">
        <v>7</v>
      </c>
      <c r="J59" t="s">
        <v>8</v>
      </c>
      <c r="K59" t="s">
        <v>9</v>
      </c>
      <c r="L59" t="s">
        <v>10</v>
      </c>
    </row>
    <row r="60" spans="1:20" x14ac:dyDescent="0.3">
      <c r="A60" s="3">
        <f>MAX(B1:B52)</f>
        <v>1.83</v>
      </c>
      <c r="F60" s="3">
        <f>A59</f>
        <v>1.34</v>
      </c>
      <c r="H60" s="7">
        <f>F60</f>
        <v>1.34</v>
      </c>
      <c r="I60" s="13">
        <f>COUNTIFS($B$1:$B$52, "&gt;="&amp;H60,B1:B52, "&lt;="&amp;H61)</f>
        <v>7</v>
      </c>
      <c r="J60" s="16">
        <f>I60/(52*$C$62)</f>
        <v>3.6982248520710068E-2</v>
      </c>
      <c r="K60" s="15">
        <f>(H60+H61)/2</f>
        <v>1.375</v>
      </c>
      <c r="L60" s="16">
        <f xml:space="preserve"> (1/($C$54*SQRT(2*PI()))) * EXP(-((K60-$A$54)^2/(2*$C$54*$C$54)))</f>
        <v>0.58120180550678435</v>
      </c>
    </row>
    <row r="61" spans="1:20" ht="15" thickBot="1" x14ac:dyDescent="0.35">
      <c r="A61" s="3"/>
      <c r="B61" s="3">
        <f>A60-A59</f>
        <v>0.49</v>
      </c>
      <c r="C61">
        <f>B61/7</f>
        <v>6.9999999999999993E-2</v>
      </c>
      <c r="D61" t="s">
        <v>11</v>
      </c>
      <c r="F61" s="3">
        <f>F60+$C$61</f>
        <v>1.4100000000000001</v>
      </c>
      <c r="H61" s="8">
        <f>F61</f>
        <v>1.4100000000000001</v>
      </c>
      <c r="I61" s="14"/>
      <c r="J61" s="17"/>
      <c r="K61" s="11"/>
      <c r="L61" s="17"/>
      <c r="M61">
        <v>1</v>
      </c>
      <c r="N61" t="s">
        <v>0</v>
      </c>
      <c r="O61" s="3">
        <f>$A$54-M61*$C$54</f>
        <v>1.4718967619399179</v>
      </c>
      <c r="P61" s="3">
        <f>$A$54+M61*$C$54</f>
        <v>1.6746416995985443</v>
      </c>
      <c r="Q61">
        <f>COUNTIFS($B$1:$B$52, "&gt;="&amp;$O61, $B$1:$B$52, "&lt;="&amp;$P61)</f>
        <v>33</v>
      </c>
      <c r="R61" s="5">
        <f>Q61/52</f>
        <v>0.63461538461538458</v>
      </c>
    </row>
    <row r="62" spans="1:20" x14ac:dyDescent="0.3">
      <c r="A62" s="3"/>
      <c r="C62">
        <f>52*C61</f>
        <v>3.6399999999999997</v>
      </c>
      <c r="D62" t="s">
        <v>12</v>
      </c>
      <c r="F62" s="3">
        <f t="shared" ref="F62:F66" si="2">F61+$C$61</f>
        <v>1.4800000000000002</v>
      </c>
      <c r="H62" s="7">
        <f>F61</f>
        <v>1.4100000000000001</v>
      </c>
      <c r="I62" s="9">
        <f>COUNTIFS($B$1:$B$52, "&gt;="&amp;H62,B1:B52, "&lt;="&amp;H63)</f>
        <v>7</v>
      </c>
      <c r="J62" s="17">
        <f>I62/(52*$C$62)</f>
        <v>3.6982248520710068E-2</v>
      </c>
      <c r="K62" s="11">
        <f>(H62+H63)/2</f>
        <v>1.4450000000000003</v>
      </c>
      <c r="L62" s="17">
        <f xml:space="preserve"> (1/($C$54*SQRT(2*PI()))) * EXP(-((K62-$A$54)^2/(2*$C$54*$C$54)))</f>
        <v>1.7673656960699256</v>
      </c>
      <c r="M62">
        <v>2</v>
      </c>
      <c r="N62" t="s">
        <v>1</v>
      </c>
      <c r="O62" s="3">
        <f t="shared" ref="O62" si="3">$A$54-M62*$C$54</f>
        <v>1.3705242931106048</v>
      </c>
      <c r="P62" s="3">
        <f t="shared" ref="P62:P63" si="4">$A$54+M62*$C$54</f>
        <v>1.7760141684278574</v>
      </c>
      <c r="Q62">
        <f>COUNTIFS($B$1:$B$52, "&gt;="&amp;$O62, $B$1:$B$52, "&lt;="&amp;$P62)</f>
        <v>45</v>
      </c>
      <c r="R62" s="5">
        <f>Q62/52</f>
        <v>0.86538461538461542</v>
      </c>
    </row>
    <row r="63" spans="1:20" ht="15" thickBot="1" x14ac:dyDescent="0.35">
      <c r="A63" s="3"/>
      <c r="F63" s="3">
        <f t="shared" si="2"/>
        <v>1.5500000000000003</v>
      </c>
      <c r="H63" s="8">
        <f>F62</f>
        <v>1.4800000000000002</v>
      </c>
      <c r="I63" s="9"/>
      <c r="J63" s="17"/>
      <c r="K63" s="11"/>
      <c r="L63" s="17"/>
      <c r="M63">
        <v>3</v>
      </c>
      <c r="N63" t="s">
        <v>2</v>
      </c>
      <c r="O63" s="3">
        <f>$A$54-M63*$C$54</f>
        <v>1.2691518242812918</v>
      </c>
      <c r="P63" s="3">
        <f t="shared" si="4"/>
        <v>1.8773866372571704</v>
      </c>
      <c r="Q63">
        <f>COUNTIFS($B$1:$B$52, "&gt;="&amp;$O63, $B$1:$B$52, "&lt;="&amp;$P63)</f>
        <v>52</v>
      </c>
      <c r="R63" s="5">
        <f>Q63/52</f>
        <v>1</v>
      </c>
    </row>
    <row r="64" spans="1:20" x14ac:dyDescent="0.3">
      <c r="A64" s="3">
        <f>SQRT(52)</f>
        <v>7.2111025509279782</v>
      </c>
      <c r="F64" s="3">
        <f t="shared" si="2"/>
        <v>1.6200000000000003</v>
      </c>
      <c r="H64" s="7">
        <f>F62</f>
        <v>1.4800000000000002</v>
      </c>
      <c r="I64" s="9">
        <f t="shared" ref="I64" si="5">COUNTIFS($B$1:$B$52, "&gt;="&amp;H64,B3:B54, "&lt;="&amp;H65)</f>
        <v>18</v>
      </c>
      <c r="J64" s="17">
        <f t="shared" ref="J64" si="6">I64/(52*$C$62)</f>
        <v>9.5097210481825886E-2</v>
      </c>
      <c r="K64" s="11">
        <f>(H64+H65)/2</f>
        <v>1.5150000000000001</v>
      </c>
      <c r="L64" s="17">
        <f t="shared" ref="L64" si="7" xml:space="preserve"> (1/($C$54*SQRT(2*PI()))) * EXP(-((K64-$A$54)^2/(2*$C$54*$C$54)))</f>
        <v>3.3361444323866944</v>
      </c>
    </row>
    <row r="65" spans="1:12" ht="15" thickBot="1" x14ac:dyDescent="0.35">
      <c r="A65" s="3"/>
      <c r="F65" s="3">
        <f t="shared" si="2"/>
        <v>1.6900000000000004</v>
      </c>
      <c r="H65" s="8">
        <f>F63</f>
        <v>1.5500000000000003</v>
      </c>
      <c r="I65" s="9"/>
      <c r="J65" s="17"/>
      <c r="K65" s="11"/>
      <c r="L65" s="17"/>
    </row>
    <row r="66" spans="1:12" x14ac:dyDescent="0.3">
      <c r="A66" s="3"/>
      <c r="F66" s="3">
        <f t="shared" si="2"/>
        <v>1.7600000000000005</v>
      </c>
      <c r="H66" s="7">
        <f>F63</f>
        <v>1.5500000000000003</v>
      </c>
      <c r="I66" s="9">
        <f t="shared" ref="I66" si="8">COUNTIFS($B$1:$B$52, "&gt;="&amp;H66,B5:B56, "&lt;="&amp;H67)</f>
        <v>17</v>
      </c>
      <c r="J66" s="17">
        <f t="shared" ref="J66" si="9">I66/(52*$C$62)</f>
        <v>8.9814032121724438E-2</v>
      </c>
      <c r="K66" s="11">
        <f>(H66+H67)/2</f>
        <v>1.5850000000000004</v>
      </c>
      <c r="L66" s="17">
        <f t="shared" ref="L66" si="10" xml:space="preserve"> (1/($C$54*SQRT(2*PI()))) * EXP(-((K66-$A$54)^2/(2*$C$54*$C$54)))</f>
        <v>3.909148999761344</v>
      </c>
    </row>
    <row r="67" spans="1:12" ht="15" thickBot="1" x14ac:dyDescent="0.35">
      <c r="A67" s="3"/>
      <c r="F67" s="3">
        <f>A60</f>
        <v>1.83</v>
      </c>
      <c r="H67" s="8">
        <f>F64</f>
        <v>1.6200000000000003</v>
      </c>
      <c r="I67" s="9"/>
      <c r="J67" s="17"/>
      <c r="K67" s="11"/>
      <c r="L67" s="17"/>
    </row>
    <row r="68" spans="1:12" x14ac:dyDescent="0.3">
      <c r="A68" s="3"/>
      <c r="H68" s="7">
        <f>F64</f>
        <v>1.6200000000000003</v>
      </c>
      <c r="I68" s="9">
        <f t="shared" ref="I68" si="11">COUNTIFS($B$1:$B$52, "&gt;="&amp;H68,B7:B58, "&lt;="&amp;H69)</f>
        <v>18</v>
      </c>
      <c r="J68" s="17">
        <f t="shared" ref="J68" si="12">I68/(52*$C$62)</f>
        <v>9.5097210481825886E-2</v>
      </c>
      <c r="K68" s="11">
        <f t="shared" ref="K68" si="13">(H68+H69)/2</f>
        <v>1.6550000000000002</v>
      </c>
      <c r="L68" s="17">
        <f t="shared" ref="L68" si="14" xml:space="preserve"> (1/($C$54*SQRT(2*PI()))) * EXP(-((K68-$A$54)^2/(2*$C$54*$C$54)))</f>
        <v>2.8434039383406597</v>
      </c>
    </row>
    <row r="69" spans="1:12" ht="15" thickBot="1" x14ac:dyDescent="0.35">
      <c r="A69" s="3"/>
      <c r="H69" s="8">
        <f>F65</f>
        <v>1.6900000000000004</v>
      </c>
      <c r="I69" s="9"/>
      <c r="J69" s="17"/>
      <c r="K69" s="11"/>
      <c r="L69" s="17"/>
    </row>
    <row r="70" spans="1:12" x14ac:dyDescent="0.3">
      <c r="A70" s="3"/>
      <c r="H70" s="7">
        <f>F65</f>
        <v>1.6900000000000004</v>
      </c>
      <c r="I70" s="9">
        <f t="shared" ref="I70" si="15">COUNTIFS($B$1:$B$52, "&gt;="&amp;H70,B9:B60, "&lt;="&amp;H71)</f>
        <v>5</v>
      </c>
      <c r="J70" s="17">
        <f t="shared" ref="J70" si="16">I70/(52*$C$62)</f>
        <v>2.6415891800507189E-2</v>
      </c>
      <c r="K70" s="11">
        <f t="shared" ref="K70" si="17">(H70+H71)/2</f>
        <v>1.7250000000000005</v>
      </c>
      <c r="L70" s="17">
        <f t="shared" ref="L70" si="18" xml:space="preserve"> (1/($C$54*SQRT(2*PI()))) * EXP(-((K70-$A$54)^2/(2*$C$54*$C$54)))</f>
        <v>1.2838487238011496</v>
      </c>
    </row>
    <row r="71" spans="1:12" ht="15" thickBot="1" x14ac:dyDescent="0.35">
      <c r="A71" s="3"/>
      <c r="H71" s="8">
        <f>F66</f>
        <v>1.7600000000000005</v>
      </c>
      <c r="I71" s="9"/>
      <c r="J71" s="17"/>
      <c r="K71" s="11"/>
      <c r="L71" s="17"/>
    </row>
    <row r="72" spans="1:12" x14ac:dyDescent="0.3">
      <c r="A72" s="3"/>
      <c r="B72">
        <v>3.4000000000000002E-2</v>
      </c>
      <c r="C72">
        <v>0.01</v>
      </c>
      <c r="H72" s="7">
        <f>F66</f>
        <v>1.7600000000000005</v>
      </c>
      <c r="I72" s="9">
        <f>COUNTIFS($B$1:$B$52, "&gt;="&amp;H72,B1:B52, "&lt;="&amp;H73)</f>
        <v>3</v>
      </c>
      <c r="J72" s="17">
        <f>I72/(52*$C$62)</f>
        <v>1.5849535080304313E-2</v>
      </c>
      <c r="K72" s="11">
        <f>(H72+H73)/2</f>
        <v>1.7950000000000004</v>
      </c>
      <c r="L72" s="17">
        <f t="shared" ref="L72" si="19" xml:space="preserve"> (1/($C$54*SQRT(2*PI()))) * EXP(-((K72-$A$54)^2/(2*$C$54*$C$54)))</f>
        <v>0.35983889420544762</v>
      </c>
    </row>
    <row r="73" spans="1:12" ht="15" thickBot="1" x14ac:dyDescent="0.35">
      <c r="A73" s="3"/>
      <c r="H73" s="8">
        <f>F67</f>
        <v>1.83</v>
      </c>
      <c r="I73" s="10"/>
      <c r="J73" s="18"/>
      <c r="K73" s="12"/>
      <c r="L73" s="18"/>
    </row>
    <row r="74" spans="1:12" x14ac:dyDescent="0.3">
      <c r="A74" s="3"/>
    </row>
    <row r="75" spans="1:12" x14ac:dyDescent="0.3">
      <c r="A75" s="3"/>
      <c r="B75">
        <f>SQRT(B72*B72+2/3*2/3*C72*C72)</f>
        <v>3.4647430560496753E-2</v>
      </c>
      <c r="C75">
        <f>B75/B76*100</f>
        <v>2.202256923537258</v>
      </c>
    </row>
    <row r="76" spans="1:12" x14ac:dyDescent="0.3">
      <c r="A76" s="3"/>
      <c r="B76" s="5">
        <f>A54</f>
        <v>1.5732692307692311</v>
      </c>
      <c r="J76">
        <f>SUM(J60:J73)</f>
        <v>0.39623837700760783</v>
      </c>
    </row>
    <row r="77" spans="1:12" x14ac:dyDescent="0.3">
      <c r="A77" s="3"/>
    </row>
  </sheetData>
  <mergeCells count="28">
    <mergeCell ref="I60:I61"/>
    <mergeCell ref="J60:J61"/>
    <mergeCell ref="K60:K61"/>
    <mergeCell ref="L60:L61"/>
    <mergeCell ref="I62:I63"/>
    <mergeCell ref="J62:J63"/>
    <mergeCell ref="K62:K63"/>
    <mergeCell ref="L62:L63"/>
    <mergeCell ref="I64:I65"/>
    <mergeCell ref="J64:J65"/>
    <mergeCell ref="K64:K65"/>
    <mergeCell ref="L64:L65"/>
    <mergeCell ref="I66:I67"/>
    <mergeCell ref="J66:J67"/>
    <mergeCell ref="K66:K67"/>
    <mergeCell ref="L66:L67"/>
    <mergeCell ref="I72:I73"/>
    <mergeCell ref="J72:J73"/>
    <mergeCell ref="K72:K73"/>
    <mergeCell ref="L72:L73"/>
    <mergeCell ref="I68:I69"/>
    <mergeCell ref="J68:J69"/>
    <mergeCell ref="K68:K69"/>
    <mergeCell ref="L68:L69"/>
    <mergeCell ref="I70:I71"/>
    <mergeCell ref="J70:J71"/>
    <mergeCell ref="K70:K71"/>
    <mergeCell ref="L70:L7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5050-A403-4C7B-9E6E-2EE9715C3442}">
  <dimension ref="A1"/>
  <sheetViews>
    <sheetView workbookViewId="0">
      <selection sqref="A1:A52"/>
    </sheetView>
  </sheetViews>
  <sheetFormatPr defaultRowHeight="14.4" x14ac:dyDescent="0.3"/>
  <cols>
    <col min="1" max="1" width="8.8867187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2025-09-22T17:26:01Z</dcterms:created>
  <dcterms:modified xsi:type="dcterms:W3CDTF">2025-09-23T10:37:11Z</dcterms:modified>
</cp:coreProperties>
</file>