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rge\Desktop\"/>
    </mc:Choice>
  </mc:AlternateContent>
  <bookViews>
    <workbookView xWindow="0" yWindow="0" windowWidth="16230" windowHeight="11355" firstSheet="2" activeTab="4"/>
  </bookViews>
  <sheets>
    <sheet name="Журнал гор. углов" sheetId="1" r:id="rId1"/>
    <sheet name="Журнал верт. углов" sheetId="3" r:id="rId2"/>
    <sheet name="Ведомость D_d" sheetId="9" r:id="rId3"/>
    <sheet name="Ведомость H" sheetId="12" r:id="rId4"/>
    <sheet name="Ведомость XY" sheetId="11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7" i="11" l="1"/>
  <c r="N25" i="1"/>
  <c r="N21" i="1"/>
  <c r="N17" i="1"/>
  <c r="N13" i="1"/>
  <c r="N9" i="1"/>
  <c r="H8" i="9"/>
  <c r="H10" i="9"/>
  <c r="I10" i="9" s="1"/>
  <c r="H12" i="9"/>
  <c r="H14" i="9"/>
  <c r="H6" i="9"/>
  <c r="O8" i="9"/>
  <c r="O10" i="9"/>
  <c r="O12" i="9"/>
  <c r="O14" i="9"/>
  <c r="O6" i="9"/>
  <c r="Z8" i="9"/>
  <c r="Z10" i="9"/>
  <c r="Z12" i="9"/>
  <c r="Z14" i="9"/>
  <c r="Z6" i="9"/>
  <c r="E18" i="11"/>
  <c r="E16" i="11"/>
  <c r="E14" i="11"/>
  <c r="E12" i="11"/>
  <c r="E10" i="11"/>
  <c r="D18" i="11"/>
  <c r="D16" i="11"/>
  <c r="D14" i="11"/>
  <c r="D12" i="11"/>
  <c r="D10" i="11"/>
  <c r="R7" i="12"/>
  <c r="R9" i="12"/>
  <c r="R11" i="12"/>
  <c r="R13" i="12"/>
  <c r="R5" i="12"/>
  <c r="J7" i="12"/>
  <c r="J9" i="12"/>
  <c r="J11" i="12"/>
  <c r="J13" i="12"/>
  <c r="I13" i="12"/>
  <c r="I11" i="12"/>
  <c r="I9" i="12"/>
  <c r="I7" i="12"/>
  <c r="L8" i="9"/>
  <c r="I5" i="12"/>
  <c r="H13" i="12"/>
  <c r="H11" i="12"/>
  <c r="H9" i="12"/>
  <c r="H7" i="12"/>
  <c r="H5" i="12"/>
  <c r="I8" i="9"/>
  <c r="I12" i="9"/>
  <c r="I14" i="9"/>
  <c r="E14" i="12"/>
  <c r="E13" i="12"/>
  <c r="E12" i="12"/>
  <c r="E11" i="12"/>
  <c r="E10" i="12"/>
  <c r="E9" i="12"/>
  <c r="E8" i="12"/>
  <c r="E7" i="12"/>
  <c r="E6" i="12"/>
  <c r="E5" i="12"/>
  <c r="D14" i="12"/>
  <c r="D13" i="12"/>
  <c r="D12" i="12"/>
  <c r="D11" i="12"/>
  <c r="D10" i="12"/>
  <c r="D9" i="12"/>
  <c r="D8" i="12"/>
  <c r="D7" i="12"/>
  <c r="D6" i="12"/>
  <c r="D5" i="12"/>
  <c r="L12" i="9"/>
  <c r="L14" i="9"/>
  <c r="L6" i="9"/>
  <c r="K8" i="9"/>
  <c r="K12" i="9"/>
  <c r="K14" i="9"/>
  <c r="K6" i="9"/>
  <c r="Y8" i="9"/>
  <c r="Y12" i="9"/>
  <c r="Y6" i="9"/>
  <c r="X7" i="9"/>
  <c r="X8" i="9"/>
  <c r="X9" i="9"/>
  <c r="X10" i="9"/>
  <c r="X12" i="9"/>
  <c r="X13" i="9"/>
  <c r="W7" i="9"/>
  <c r="W8" i="9"/>
  <c r="W9" i="9"/>
  <c r="W10" i="9"/>
  <c r="W12" i="9"/>
  <c r="W13" i="9"/>
  <c r="X6" i="9"/>
  <c r="W6" i="9"/>
  <c r="F13" i="9"/>
  <c r="F12" i="9"/>
  <c r="F10" i="9"/>
  <c r="F9" i="9"/>
  <c r="F8" i="9"/>
  <c r="F7" i="9"/>
  <c r="F6" i="9"/>
  <c r="E15" i="9"/>
  <c r="E14" i="9"/>
  <c r="E13" i="9"/>
  <c r="E12" i="9"/>
  <c r="E11" i="9"/>
  <c r="E10" i="9"/>
  <c r="E9" i="9"/>
  <c r="E8" i="9"/>
  <c r="E7" i="9"/>
  <c r="E6" i="9"/>
  <c r="F9" i="3"/>
  <c r="F11" i="3"/>
  <c r="F13" i="3"/>
  <c r="F15" i="3"/>
  <c r="F17" i="3"/>
  <c r="F19" i="3"/>
  <c r="F21" i="3"/>
  <c r="F23" i="3"/>
  <c r="F25" i="3"/>
  <c r="F27" i="3"/>
  <c r="F7" i="3"/>
  <c r="C7" i="9"/>
  <c r="C6" i="9"/>
  <c r="S9" i="11" l="1"/>
  <c r="R9" i="11"/>
  <c r="Q9" i="11"/>
  <c r="E28" i="11"/>
  <c r="AB30" i="11"/>
  <c r="AB32" i="11"/>
  <c r="AB34" i="11"/>
  <c r="AB36" i="11"/>
  <c r="AB28" i="11"/>
  <c r="P13" i="12"/>
  <c r="P11" i="12"/>
  <c r="P9" i="12"/>
  <c r="P7" i="12"/>
  <c r="P5" i="12"/>
  <c r="D3" i="11"/>
  <c r="J7" i="1"/>
  <c r="M25" i="1"/>
  <c r="M21" i="1"/>
  <c r="M17" i="1"/>
  <c r="M13" i="1"/>
  <c r="M9" i="1"/>
  <c r="J23" i="1"/>
  <c r="J15" i="1"/>
  <c r="J19" i="1"/>
  <c r="H7" i="1"/>
  <c r="I15" i="1"/>
  <c r="I19" i="1"/>
  <c r="I23" i="1"/>
  <c r="I7" i="1"/>
  <c r="U15" i="1"/>
  <c r="U19" i="1"/>
  <c r="U23" i="1"/>
  <c r="U7" i="1"/>
  <c r="H9" i="1"/>
  <c r="H13" i="1"/>
  <c r="H15" i="1"/>
  <c r="H17" i="1"/>
  <c r="H19" i="1"/>
  <c r="H21" i="1"/>
  <c r="H23" i="1"/>
  <c r="H25" i="1"/>
  <c r="T9" i="1"/>
  <c r="T13" i="1"/>
  <c r="G13" i="1" s="1"/>
  <c r="T15" i="1"/>
  <c r="T17" i="1"/>
  <c r="T19" i="1"/>
  <c r="G19" i="1" s="1"/>
  <c r="T21" i="1"/>
  <c r="G21" i="1" s="1"/>
  <c r="T23" i="1"/>
  <c r="T25" i="1"/>
  <c r="G9" i="1"/>
  <c r="G15" i="1"/>
  <c r="G17" i="1"/>
  <c r="G23" i="1"/>
  <c r="G25" i="1"/>
  <c r="G7" i="1"/>
  <c r="T7" i="1"/>
  <c r="S13" i="1"/>
  <c r="S15" i="1"/>
  <c r="S17" i="1"/>
  <c r="S19" i="1"/>
  <c r="S21" i="1"/>
  <c r="S23" i="1"/>
  <c r="S25" i="1"/>
  <c r="S9" i="1"/>
  <c r="S7" i="1"/>
  <c r="R8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7" i="1"/>
  <c r="P8" i="1"/>
  <c r="P9" i="1"/>
  <c r="P10" i="1"/>
  <c r="P11" i="1"/>
  <c r="R11" i="1" s="1"/>
  <c r="S11" i="1" s="1"/>
  <c r="T11" i="1" s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7" i="1"/>
  <c r="F9" i="1"/>
  <c r="F11" i="1"/>
  <c r="F13" i="1"/>
  <c r="F15" i="1"/>
  <c r="F17" i="1"/>
  <c r="F19" i="1"/>
  <c r="F21" i="1"/>
  <c r="F23" i="1"/>
  <c r="F25" i="1"/>
  <c r="F7" i="1"/>
  <c r="H9" i="3"/>
  <c r="H11" i="3"/>
  <c r="H13" i="3"/>
  <c r="H15" i="3"/>
  <c r="H17" i="3"/>
  <c r="H19" i="3"/>
  <c r="F11" i="9" s="1"/>
  <c r="W11" i="9" s="1"/>
  <c r="H21" i="3"/>
  <c r="H23" i="3"/>
  <c r="H25" i="3"/>
  <c r="F14" i="9" s="1"/>
  <c r="W14" i="9" s="1"/>
  <c r="X14" i="9" s="1"/>
  <c r="H27" i="3"/>
  <c r="F15" i="9" s="1"/>
  <c r="W15" i="9" s="1"/>
  <c r="H7" i="3"/>
  <c r="G9" i="3"/>
  <c r="M9" i="3" s="1"/>
  <c r="G11" i="3"/>
  <c r="M11" i="3" s="1"/>
  <c r="G13" i="3"/>
  <c r="M13" i="3" s="1"/>
  <c r="G15" i="3"/>
  <c r="M15" i="3" s="1"/>
  <c r="G17" i="3"/>
  <c r="M17" i="3" s="1"/>
  <c r="G19" i="3"/>
  <c r="G21" i="3"/>
  <c r="M21" i="3" s="1"/>
  <c r="G23" i="3"/>
  <c r="M23" i="3" s="1"/>
  <c r="G25" i="3"/>
  <c r="G27" i="3"/>
  <c r="G7" i="3"/>
  <c r="M7" i="3" s="1"/>
  <c r="J14" i="9"/>
  <c r="J12" i="9"/>
  <c r="J10" i="9"/>
  <c r="J8" i="9"/>
  <c r="J6" i="9"/>
  <c r="J5" i="12" l="1"/>
  <c r="J15" i="12" s="1"/>
  <c r="I6" i="9"/>
  <c r="AD28" i="11"/>
  <c r="AE28" i="11" s="1"/>
  <c r="AF28" i="11" s="1"/>
  <c r="D25" i="11" s="1"/>
  <c r="M11" i="12"/>
  <c r="M9" i="12"/>
  <c r="Q7" i="12"/>
  <c r="M5" i="12"/>
  <c r="M15" i="12" s="1"/>
  <c r="Y10" i="9"/>
  <c r="X11" i="9"/>
  <c r="M19" i="3"/>
  <c r="M25" i="3"/>
  <c r="Y14" i="9"/>
  <c r="X15" i="9"/>
  <c r="M27" i="3"/>
  <c r="P14" i="9"/>
  <c r="L9" i="11" s="1"/>
  <c r="P6" i="9"/>
  <c r="L11" i="11" s="1"/>
  <c r="P12" i="9"/>
  <c r="L17" i="11" s="1"/>
  <c r="P8" i="9"/>
  <c r="L13" i="11" s="1"/>
  <c r="G11" i="1"/>
  <c r="H11" i="1"/>
  <c r="U11" i="1"/>
  <c r="P9" i="11"/>
  <c r="AG28" i="11"/>
  <c r="AD33" i="11" l="1"/>
  <c r="AE33" i="11" s="1"/>
  <c r="AF33" i="11" s="1"/>
  <c r="E25" i="11"/>
  <c r="E27" i="11"/>
  <c r="M7" i="12"/>
  <c r="Q5" i="12"/>
  <c r="Q11" i="12"/>
  <c r="L10" i="9"/>
  <c r="K10" i="9"/>
  <c r="Y9" i="11"/>
  <c r="X9" i="11"/>
  <c r="J11" i="1"/>
  <c r="I11" i="1"/>
  <c r="Q9" i="12"/>
  <c r="M13" i="12"/>
  <c r="M20" i="12" s="1"/>
  <c r="Q13" i="12"/>
  <c r="S5" i="12" l="1"/>
  <c r="S11" i="12"/>
  <c r="N11" i="12" s="1"/>
  <c r="S13" i="12"/>
  <c r="S9" i="12"/>
  <c r="N9" i="12" s="1"/>
  <c r="AJ31" i="11"/>
  <c r="AJ33" i="11"/>
  <c r="AJ35" i="11"/>
  <c r="AJ29" i="11"/>
  <c r="AJ27" i="11"/>
  <c r="N13" i="12"/>
  <c r="P10" i="9"/>
  <c r="L15" i="11" s="1"/>
  <c r="L25" i="11" s="1"/>
  <c r="Q15" i="12"/>
  <c r="M19" i="12" s="1"/>
  <c r="S7" i="12" l="1"/>
  <c r="N7" i="12" s="1"/>
  <c r="AK35" i="11"/>
  <c r="I18" i="11"/>
  <c r="I16" i="11"/>
  <c r="AK33" i="11"/>
  <c r="I12" i="11"/>
  <c r="AK29" i="11"/>
  <c r="AK27" i="11"/>
  <c r="I10" i="11"/>
  <c r="AK31" i="11"/>
  <c r="I14" i="11"/>
  <c r="N5" i="12"/>
  <c r="O7" i="12" s="1"/>
  <c r="O9" i="12" l="1"/>
  <c r="O11" i="12" s="1"/>
  <c r="O13" i="12" s="1"/>
  <c r="O15" i="12" s="1"/>
  <c r="AL29" i="11"/>
  <c r="J12" i="11"/>
  <c r="AL33" i="11"/>
  <c r="J16" i="11"/>
  <c r="AL27" i="11"/>
  <c r="P11" i="11"/>
  <c r="J10" i="11"/>
  <c r="AL31" i="11"/>
  <c r="J14" i="11"/>
  <c r="AL35" i="11"/>
  <c r="J18" i="11"/>
  <c r="N15" i="12"/>
  <c r="P13" i="11" l="1"/>
  <c r="N11" i="11"/>
  <c r="Q11" i="11"/>
  <c r="O11" i="11"/>
  <c r="AL37" i="11"/>
  <c r="S11" i="11" l="1"/>
  <c r="X11" i="11" s="1"/>
  <c r="R11" i="11"/>
  <c r="Y11" i="11" s="1"/>
  <c r="AL39" i="11"/>
  <c r="AL38" i="11"/>
  <c r="Q13" i="11"/>
  <c r="P15" i="11"/>
  <c r="N13" i="11"/>
  <c r="O13" i="11"/>
  <c r="P17" i="11" l="1"/>
  <c r="Q15" i="11"/>
  <c r="N15" i="11"/>
  <c r="O15" i="11"/>
  <c r="S13" i="11"/>
  <c r="X13" i="11" s="1"/>
  <c r="R13" i="11"/>
  <c r="Y13" i="11" s="1"/>
  <c r="R15" i="11" l="1"/>
  <c r="Y15" i="11" s="1"/>
  <c r="S15" i="11"/>
  <c r="X15" i="11" s="1"/>
  <c r="P19" i="11"/>
  <c r="Q17" i="11"/>
  <c r="N17" i="11"/>
  <c r="O17" i="11"/>
  <c r="S17" i="11" l="1"/>
  <c r="X17" i="11" s="1"/>
  <c r="X23" i="11" s="1"/>
  <c r="R17" i="11"/>
  <c r="Y17" i="11" s="1"/>
  <c r="N19" i="11"/>
  <c r="O19" i="11"/>
  <c r="X41" i="11" l="1"/>
  <c r="X39" i="11"/>
  <c r="X43" i="11"/>
  <c r="AE17" i="11" s="1"/>
  <c r="X37" i="11"/>
  <c r="X35" i="11"/>
  <c r="Y23" i="11"/>
  <c r="Z17" i="11" l="1"/>
  <c r="Y43" i="11"/>
  <c r="Y41" i="11"/>
  <c r="AA15" i="11" s="1"/>
  <c r="Y37" i="11"/>
  <c r="Y35" i="11"/>
  <c r="Y39" i="11"/>
  <c r="AE9" i="11"/>
  <c r="X45" i="11"/>
  <c r="Z9" i="11"/>
  <c r="AE15" i="11"/>
  <c r="Z15" i="11"/>
  <c r="Z11" i="11"/>
  <c r="AB12" i="11" s="1"/>
  <c r="AE11" i="11"/>
  <c r="X32" i="11"/>
  <c r="Y32" i="11" s="1"/>
  <c r="AE13" i="11"/>
  <c r="Z13" i="11"/>
  <c r="AB14" i="11" l="1"/>
  <c r="AF15" i="11"/>
  <c r="AB16" i="11"/>
  <c r="AB18" i="11" s="1"/>
  <c r="AB20" i="11" s="1"/>
  <c r="AF13" i="11"/>
  <c r="AA13" i="11"/>
  <c r="AF17" i="11"/>
  <c r="AA17" i="11"/>
  <c r="AF9" i="11"/>
  <c r="AA9" i="11"/>
  <c r="Y45" i="11"/>
  <c r="AF11" i="11"/>
  <c r="AA11" i="11"/>
  <c r="AC12" i="11" s="1"/>
  <c r="AC14" i="11" l="1"/>
  <c r="AC16" i="11" s="1"/>
  <c r="AC18" i="11" s="1"/>
  <c r="AC20" i="11" s="1"/>
</calcChain>
</file>

<file path=xl/sharedStrings.xml><?xml version="1.0" encoding="utf-8"?>
<sst xmlns="http://schemas.openxmlformats.org/spreadsheetml/2006/main" count="272" uniqueCount="131">
  <si>
    <t>№№   стан     ций</t>
  </si>
  <si>
    <t>№№ точек</t>
  </si>
  <si>
    <t>КЛ КП</t>
  </si>
  <si>
    <t>Отсчеты по горизонтальному кругу</t>
  </si>
  <si>
    <t>Угол в полуприеме</t>
  </si>
  <si>
    <t>Среднее значение угла</t>
  </si>
  <si>
    <t>град.</t>
  </si>
  <si>
    <t>мин.</t>
  </si>
  <si>
    <t>КЛ</t>
  </si>
  <si>
    <t>КП</t>
  </si>
  <si>
    <t>MO</t>
  </si>
  <si>
    <t>Угол наклона</t>
  </si>
  <si>
    <t>С</t>
  </si>
  <si>
    <t>Отсчеты ВУ</t>
  </si>
  <si>
    <t>Длина линий</t>
  </si>
  <si>
    <t>прямо</t>
  </si>
  <si>
    <t>обратно</t>
  </si>
  <si>
    <t>средняя</t>
  </si>
  <si>
    <t>Примечание</t>
  </si>
  <si>
    <t>Приращения координат, м</t>
  </si>
  <si>
    <t>м</t>
  </si>
  <si>
    <t>Ведомость вычислений горизонтальных проложений сторон теодолитного хода</t>
  </si>
  <si>
    <t>Направление</t>
  </si>
  <si>
    <t>Измеренная длина D,  м</t>
  </si>
  <si>
    <r>
      <t xml:space="preserve">Измеренный угол наклона </t>
    </r>
    <r>
      <rPr>
        <sz val="11"/>
        <color theme="1"/>
        <rFont val="Symbol"/>
        <family val="1"/>
        <charset val="2"/>
      </rPr>
      <t>d</t>
    </r>
  </si>
  <si>
    <t>∆ D, м</t>
  </si>
  <si>
    <r>
      <t xml:space="preserve">Знаменатель отн. погрешности: </t>
    </r>
    <r>
      <rPr>
        <sz val="11"/>
        <color rgb="FFFF0000"/>
        <rFont val="Times New Roman"/>
        <family val="1"/>
        <charset val="204"/>
      </rPr>
      <t>Доп.: ≤1/1000</t>
    </r>
  </si>
  <si>
    <t>Ср. значение D,  м</t>
  </si>
  <si>
    <r>
      <t xml:space="preserve">Угол наклона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Times New Roman"/>
        <family val="1"/>
        <charset val="204"/>
      </rPr>
      <t xml:space="preserve">  (ср.)</t>
    </r>
  </si>
  <si>
    <r>
      <t>Угол наклона (дес.)</t>
    </r>
    <r>
      <rPr>
        <sz val="11"/>
        <color theme="1"/>
        <rFont val="Symbol"/>
        <family val="1"/>
        <charset val="2"/>
      </rPr>
      <t xml:space="preserve"> d</t>
    </r>
    <r>
      <rPr>
        <sz val="11"/>
        <color theme="1"/>
        <rFont val="Times New Roman"/>
        <family val="1"/>
        <charset val="204"/>
      </rPr>
      <t>,</t>
    </r>
  </si>
  <si>
    <r>
      <t xml:space="preserve">Угол наклона (рад.)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Times New Roman"/>
        <family val="1"/>
        <charset val="204"/>
      </rPr>
      <t>,</t>
    </r>
  </si>
  <si>
    <r>
      <t xml:space="preserve">cos </t>
    </r>
    <r>
      <rPr>
        <sz val="11"/>
        <color theme="1"/>
        <rFont val="Symbol"/>
        <family val="1"/>
        <charset val="2"/>
      </rPr>
      <t>d</t>
    </r>
  </si>
  <si>
    <t>Гориз. проложение d, м</t>
  </si>
  <si>
    <t>знак</t>
  </si>
  <si>
    <t>прям./обр.</t>
  </si>
  <si>
    <t xml:space="preserve">град </t>
  </si>
  <si>
    <t>мин</t>
  </si>
  <si>
    <t>дес.град</t>
  </si>
  <si>
    <t>1-2</t>
  </si>
  <si>
    <t>+</t>
  </si>
  <si>
    <t>2-1</t>
  </si>
  <si>
    <t>-</t>
  </si>
  <si>
    <t>2-3</t>
  </si>
  <si>
    <t>3-2</t>
  </si>
  <si>
    <t>3-4</t>
  </si>
  <si>
    <t>4-3</t>
  </si>
  <si>
    <t>4-5</t>
  </si>
  <si>
    <t>5-4</t>
  </si>
  <si>
    <t>5-1</t>
  </si>
  <si>
    <t>1-5</t>
  </si>
  <si>
    <t>град в рад</t>
  </si>
  <si>
    <t>мин в рад</t>
  </si>
  <si>
    <t>угол в рад</t>
  </si>
  <si>
    <t>полуприем в рад</t>
  </si>
  <si>
    <t>радиан - &gt;  градус (1)</t>
  </si>
  <si>
    <t>угол</t>
  </si>
  <si>
    <t>ср. угол</t>
  </si>
  <si>
    <t>сумма углов</t>
  </si>
  <si>
    <t>рад</t>
  </si>
  <si>
    <t>град</t>
  </si>
  <si>
    <t>поправка</t>
  </si>
  <si>
    <t> Ведомость вычислений превышений и высот точек теодолитного хода </t>
  </si>
  <si>
    <t>№ станций</t>
  </si>
  <si>
    <t>Названия направлений</t>
  </si>
  <si>
    <t>Измеренные углы наклона</t>
  </si>
  <si>
    <t>Превышения,м</t>
  </si>
  <si>
    <t>Отметки,м</t>
  </si>
  <si>
    <t>№ станции</t>
  </si>
  <si>
    <t>сред.</t>
  </si>
  <si>
    <t>выч.</t>
  </si>
  <si>
    <t>урав.</t>
  </si>
  <si>
    <t>знак.</t>
  </si>
  <si>
    <t>контроль</t>
  </si>
  <si>
    <t>fдоп.=</t>
  </si>
  <si>
    <t>см</t>
  </si>
  <si>
    <t>fфак.=</t>
  </si>
  <si>
    <t>4._____________________________</t>
  </si>
  <si>
    <t>5._____________________________</t>
  </si>
  <si>
    <t>6._____________________________</t>
  </si>
  <si>
    <t>Дата:</t>
  </si>
  <si>
    <t xml:space="preserve">        Ведомость вычисления координат замкнутого теодолитного хода</t>
  </si>
  <si>
    <t>N пункта</t>
  </si>
  <si>
    <t>Горизонтальные углы</t>
  </si>
  <si>
    <t>Приведен. длина d, м</t>
  </si>
  <si>
    <t>дес.</t>
  </si>
  <si>
    <t>Дирекционный угол</t>
  </si>
  <si>
    <t>перевод в рад.</t>
  </si>
  <si>
    <t>sin</t>
  </si>
  <si>
    <t>cos</t>
  </si>
  <si>
    <t>Румбы</t>
  </si>
  <si>
    <t xml:space="preserve"> Координаты, м</t>
  </si>
  <si>
    <t>поправки пропорц.S,м</t>
  </si>
  <si>
    <t xml:space="preserve"> измеренные   </t>
  </si>
  <si>
    <t>исправленные</t>
  </si>
  <si>
    <t>направ</t>
  </si>
  <si>
    <t>сек</t>
  </si>
  <si>
    <t xml:space="preserve">     вычисленные</t>
  </si>
  <si>
    <t xml:space="preserve">   исправленные</t>
  </si>
  <si>
    <t>исправл.</t>
  </si>
  <si>
    <r>
      <t xml:space="preserve">       </t>
    </r>
    <r>
      <rPr>
        <sz val="10"/>
        <color indexed="39"/>
        <rFont val="Symbol"/>
        <family val="1"/>
        <charset val="2"/>
      </rPr>
      <t>D</t>
    </r>
    <r>
      <rPr>
        <sz val="10"/>
        <color indexed="39"/>
        <rFont val="Times New Roman Cyr"/>
        <family val="1"/>
        <charset val="204"/>
      </rPr>
      <t>X</t>
    </r>
  </si>
  <si>
    <r>
      <t xml:space="preserve">    </t>
    </r>
    <r>
      <rPr>
        <sz val="10"/>
        <color indexed="39"/>
        <rFont val="Symbol"/>
        <family val="1"/>
        <charset val="2"/>
      </rPr>
      <t>D</t>
    </r>
    <r>
      <rPr>
        <sz val="10"/>
        <color indexed="39"/>
        <rFont val="Times New Roman Cyr"/>
        <family val="1"/>
        <charset val="204"/>
      </rPr>
      <t>Y</t>
    </r>
  </si>
  <si>
    <r>
      <t xml:space="preserve">      </t>
    </r>
    <r>
      <rPr>
        <sz val="10"/>
        <color indexed="39"/>
        <rFont val="Symbol"/>
        <family val="1"/>
        <charset val="2"/>
      </rPr>
      <t>D</t>
    </r>
    <r>
      <rPr>
        <sz val="10"/>
        <color indexed="39"/>
        <rFont val="Times New Roman Cyr"/>
        <family val="1"/>
        <charset val="204"/>
      </rPr>
      <t>X</t>
    </r>
  </si>
  <si>
    <r>
      <t xml:space="preserve">      </t>
    </r>
    <r>
      <rPr>
        <sz val="10"/>
        <color indexed="39"/>
        <rFont val="Symbol"/>
        <family val="1"/>
        <charset val="2"/>
      </rPr>
      <t>D</t>
    </r>
    <r>
      <rPr>
        <sz val="10"/>
        <color indexed="39"/>
        <rFont val="Times New Roman Cyr"/>
        <family val="1"/>
        <charset val="204"/>
      </rPr>
      <t>Y</t>
    </r>
  </si>
  <si>
    <t xml:space="preserve">      X</t>
  </si>
  <si>
    <t xml:space="preserve">      Y</t>
  </si>
  <si>
    <t>Sb</t>
  </si>
  <si>
    <t>факт.=</t>
  </si>
  <si>
    <t>P, м =</t>
  </si>
  <si>
    <t>SD  =</t>
  </si>
  <si>
    <t>теор. =</t>
  </si>
  <si>
    <t>fабс =</t>
  </si>
  <si>
    <t>fотн =</t>
  </si>
  <si>
    <t>1/</t>
  </si>
  <si>
    <t xml:space="preserve">Доп. угловая невязка = </t>
  </si>
  <si>
    <t>fотн.доп. =</t>
  </si>
  <si>
    <t>угловая невязка</t>
  </si>
  <si>
    <t xml:space="preserve">Угловая невязка = </t>
  </si>
  <si>
    <t>десятич</t>
  </si>
  <si>
    <t>Наклонное растояние D,м</t>
  </si>
  <si>
    <t>Горизонтальное проложение S, м</t>
  </si>
  <si>
    <t>f абс</t>
  </si>
  <si>
    <t>f отн</t>
  </si>
  <si>
    <t>распределение угл. невязки</t>
  </si>
  <si>
    <t>распр-е невязки</t>
  </si>
  <si>
    <t>Угол наклона в десят.</t>
  </si>
  <si>
    <t>начальный угол</t>
  </si>
  <si>
    <t>десят</t>
  </si>
  <si>
    <t>прямой</t>
  </si>
  <si>
    <t>обратный</t>
  </si>
  <si>
    <t>средний в десят</t>
  </si>
  <si>
    <t>средний в 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</si>
</sst>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"/>
    <numFmt numFmtId="166" formatCode="0.000000"/>
    <numFmt numFmtId="167" formatCode="0.0000"/>
    <numFmt numFmtId="168" formatCode="0."/>
    <numFmt numFmtId="169" formatCode="0.00000000000000"/>
    <numFmt numFmtId="170" formatCode="#,##0.000"/>
  </numFmts>
  <fonts count="58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theme="1"/>
      <name val="Symbol"/>
      <family val="1"/>
      <charset val="2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2D3B45"/>
      <name val="Times New Roman"/>
      <family val="1"/>
      <charset val="204"/>
    </font>
    <font>
      <i/>
      <sz val="11"/>
      <color rgb="FFFF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indexed="56"/>
      <name val="Arial Cyr"/>
      <charset val="204"/>
    </font>
    <font>
      <b/>
      <sz val="12"/>
      <color indexed="16"/>
      <name val="Times New Roman Cyr"/>
      <family val="1"/>
      <charset val="204"/>
    </font>
    <font>
      <sz val="12"/>
      <color indexed="12"/>
      <name val="Times New Roman Cyr"/>
      <family val="1"/>
      <charset val="204"/>
    </font>
    <font>
      <sz val="12"/>
      <color indexed="12"/>
      <name val="Arial Cyr"/>
      <family val="2"/>
      <charset val="204"/>
    </font>
    <font>
      <b/>
      <sz val="14"/>
      <color indexed="12"/>
      <name val="Times New Roman Cyr"/>
      <charset val="204"/>
    </font>
    <font>
      <sz val="10"/>
      <name val="Times New Roman"/>
      <family val="1"/>
      <charset val="204"/>
    </font>
    <font>
      <sz val="10"/>
      <color indexed="39"/>
      <name val="Times New Roman"/>
      <family val="1"/>
      <charset val="204"/>
    </font>
    <font>
      <sz val="10"/>
      <color indexed="39"/>
      <name val="Times New Roman Cyr"/>
      <family val="1"/>
      <charset val="204"/>
    </font>
    <font>
      <sz val="10"/>
      <color indexed="39"/>
      <name val="Symbol"/>
      <family val="1"/>
      <charset val="2"/>
    </font>
    <font>
      <b/>
      <sz val="12"/>
      <color indexed="16"/>
      <name val="Times New Roman"/>
      <family val="1"/>
      <charset val="204"/>
    </font>
    <font>
      <sz val="12"/>
      <color indexed="16"/>
      <name val="Times New Roman Cyr"/>
      <family val="1"/>
      <charset val="204"/>
    </font>
    <font>
      <sz val="12"/>
      <color indexed="8"/>
      <name val="Times New Roman Cyr"/>
      <family val="1"/>
      <charset val="204"/>
    </font>
    <font>
      <sz val="12"/>
      <color indexed="56"/>
      <name val="Times New Roman Cyr"/>
      <family val="1"/>
      <charset val="204"/>
    </font>
    <font>
      <b/>
      <sz val="12"/>
      <color indexed="12"/>
      <name val="Times New Roman"/>
      <family val="1"/>
      <charset val="204"/>
    </font>
    <font>
      <b/>
      <sz val="12"/>
      <color rgb="FFC00000"/>
      <name val="Times New Roman Cyr"/>
      <charset val="204"/>
    </font>
    <font>
      <sz val="12"/>
      <color indexed="16"/>
      <name val="Times New Roman"/>
      <family val="1"/>
      <charset val="204"/>
    </font>
    <font>
      <b/>
      <sz val="10"/>
      <color rgb="FFC00000"/>
      <name val="Arial Cyr"/>
      <charset val="204"/>
    </font>
    <font>
      <sz val="10"/>
      <name val="Arial Cyr"/>
      <charset val="204"/>
    </font>
    <font>
      <b/>
      <sz val="12"/>
      <color indexed="12"/>
      <name val="Symbol"/>
      <family val="1"/>
      <charset val="2"/>
    </font>
    <font>
      <b/>
      <sz val="10"/>
      <color indexed="12"/>
      <name val="Times New Roman"/>
      <family val="1"/>
      <charset val="204"/>
    </font>
    <font>
      <sz val="10"/>
      <color indexed="12"/>
      <name val="New Times Roman Cyr"/>
      <charset val="204"/>
    </font>
    <font>
      <sz val="10"/>
      <color indexed="12"/>
      <name val="Times New Roman Cyr"/>
      <family val="1"/>
      <charset val="204"/>
    </font>
    <font>
      <sz val="12"/>
      <color indexed="12"/>
      <name val="New Times Roman Cyr"/>
      <charset val="204"/>
    </font>
    <font>
      <b/>
      <sz val="10"/>
      <color indexed="12"/>
      <name val="Times New Roman Cyr"/>
      <charset val="204"/>
    </font>
    <font>
      <b/>
      <sz val="10"/>
      <color indexed="16"/>
      <name val="Times New Roman Cyr"/>
      <charset val="204"/>
    </font>
    <font>
      <b/>
      <sz val="12"/>
      <color indexed="12"/>
      <name val="New Times Roman Cyr"/>
      <charset val="204"/>
    </font>
    <font>
      <sz val="10"/>
      <color indexed="16"/>
      <name val="Times New Roman"/>
      <family val="1"/>
      <charset val="204"/>
    </font>
    <font>
      <sz val="10"/>
      <color indexed="16"/>
      <name val="Times New Roman Cyr"/>
      <family val="1"/>
      <charset val="204"/>
    </font>
    <font>
      <sz val="11"/>
      <color rgb="FF242424"/>
      <name val="Segoe UI"/>
      <family val="2"/>
      <charset val="204"/>
    </font>
    <font>
      <sz val="10"/>
      <color indexed="12"/>
      <name val="Calibri"/>
      <family val="2"/>
      <charset val="204"/>
      <scheme val="minor"/>
    </font>
    <font>
      <sz val="12"/>
      <color indexed="16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2"/>
      <color indexed="56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2"/>
      <color indexed="10"/>
      <name val="Calibri"/>
      <family val="2"/>
      <charset val="204"/>
      <scheme val="minor"/>
    </font>
    <font>
      <sz val="12"/>
      <color rgb="FF242424"/>
      <name val="Calibri"/>
      <family val="2"/>
      <charset val="204"/>
      <scheme val="minor"/>
    </font>
    <font>
      <b/>
      <sz val="12"/>
      <color indexed="10"/>
      <name val="Calibri"/>
      <family val="2"/>
      <charset val="204"/>
      <scheme val="minor"/>
    </font>
    <font>
      <sz val="12"/>
      <color indexed="8"/>
      <name val="Times New Roman Cyr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58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/>
    <xf numFmtId="0" fontId="3" fillId="0" borderId="0" xfId="1" applyFont="1"/>
    <xf numFmtId="0" fontId="11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3" fillId="0" borderId="16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 wrapText="1"/>
    </xf>
    <xf numFmtId="0" fontId="3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49" fontId="3" fillId="0" borderId="18" xfId="2" quotePrefix="1" applyNumberFormat="1" applyFont="1" applyBorder="1" applyAlignment="1">
      <alignment horizontal="center"/>
    </xf>
    <xf numFmtId="165" fontId="10" fillId="0" borderId="9" xfId="1" applyNumberFormat="1" applyFont="1" applyBorder="1" applyAlignment="1">
      <alignment horizontal="right"/>
    </xf>
    <xf numFmtId="16" fontId="13" fillId="0" borderId="9" xfId="2" quotePrefix="1" applyNumberFormat="1" applyFont="1" applyBorder="1" applyAlignment="1">
      <alignment horizontal="center"/>
    </xf>
    <xf numFmtId="164" fontId="13" fillId="0" borderId="9" xfId="2" applyNumberFormat="1" applyFont="1" applyBorder="1" applyAlignment="1">
      <alignment horizontal="center"/>
    </xf>
    <xf numFmtId="164" fontId="13" fillId="3" borderId="9" xfId="2" applyNumberFormat="1" applyFont="1" applyFill="1" applyBorder="1" applyAlignment="1">
      <alignment horizontal="center"/>
    </xf>
    <xf numFmtId="49" fontId="3" fillId="0" borderId="25" xfId="2" quotePrefix="1" applyNumberFormat="1" applyFont="1" applyBorder="1" applyAlignment="1">
      <alignment horizontal="center"/>
    </xf>
    <xf numFmtId="165" fontId="10" fillId="0" borderId="16" xfId="1" applyNumberFormat="1" applyFont="1" applyBorder="1" applyAlignment="1">
      <alignment horizontal="right"/>
    </xf>
    <xf numFmtId="16" fontId="13" fillId="0" borderId="16" xfId="2" quotePrefix="1" applyNumberFormat="1" applyFont="1" applyBorder="1" applyAlignment="1">
      <alignment horizontal="center"/>
    </xf>
    <xf numFmtId="164" fontId="13" fillId="0" borderId="16" xfId="2" applyNumberFormat="1" applyFont="1" applyBorder="1" applyAlignment="1">
      <alignment horizontal="center"/>
    </xf>
    <xf numFmtId="164" fontId="13" fillId="3" borderId="6" xfId="2" applyNumberFormat="1" applyFont="1" applyFill="1" applyBorder="1" applyAlignment="1">
      <alignment horizontal="center"/>
    </xf>
    <xf numFmtId="49" fontId="8" fillId="0" borderId="18" xfId="2" quotePrefix="1" applyNumberFormat="1" applyFont="1" applyBorder="1" applyAlignment="1">
      <alignment horizontal="center"/>
    </xf>
    <xf numFmtId="2" fontId="3" fillId="0" borderId="0" xfId="1" applyNumberFormat="1" applyFont="1"/>
    <xf numFmtId="49" fontId="3" fillId="0" borderId="25" xfId="1" quotePrefix="1" applyNumberFormat="1" applyFont="1" applyBorder="1" applyAlignment="1">
      <alignment horizontal="center"/>
    </xf>
    <xf numFmtId="2" fontId="3" fillId="0" borderId="6" xfId="1" applyNumberFormat="1" applyFont="1" applyBorder="1" applyAlignment="1">
      <alignment horizontal="center"/>
    </xf>
    <xf numFmtId="0" fontId="3" fillId="0" borderId="6" xfId="1" applyFont="1" applyBorder="1" applyAlignment="1">
      <alignment horizontal="center" vertical="center"/>
    </xf>
    <xf numFmtId="0" fontId="3" fillId="0" borderId="12" xfId="1" applyFont="1" applyBorder="1"/>
    <xf numFmtId="2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" vertical="center"/>
    </xf>
    <xf numFmtId="0" fontId="3" fillId="0" borderId="26" xfId="1" applyFont="1" applyBorder="1"/>
    <xf numFmtId="1" fontId="2" fillId="0" borderId="9" xfId="0" quotePrefix="1" applyNumberFormat="1" applyFont="1" applyBorder="1" applyAlignment="1">
      <alignment horizontal="center" vertical="center" wrapText="1"/>
    </xf>
    <xf numFmtId="1" fontId="2" fillId="0" borderId="2" xfId="0" quotePrefix="1" applyNumberFormat="1" applyFont="1" applyBorder="1" applyAlignment="1">
      <alignment horizontal="center" vertical="center" wrapText="1"/>
    </xf>
    <xf numFmtId="1" fontId="2" fillId="0" borderId="16" xfId="0" quotePrefix="1" applyNumberFormat="1" applyFont="1" applyBorder="1" applyAlignment="1">
      <alignment horizontal="center" vertical="center" wrapText="1"/>
    </xf>
    <xf numFmtId="164" fontId="2" fillId="0" borderId="9" xfId="0" quotePrefix="1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0" fillId="5" borderId="0" xfId="0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53" xfId="0" applyBorder="1"/>
    <xf numFmtId="0" fontId="0" fillId="0" borderId="54" xfId="0" applyBorder="1"/>
    <xf numFmtId="0" fontId="0" fillId="5" borderId="31" xfId="0" applyFill="1" applyBorder="1"/>
    <xf numFmtId="0" fontId="0" fillId="5" borderId="0" xfId="0" applyFill="1" applyBorder="1"/>
    <xf numFmtId="0" fontId="0" fillId="5" borderId="53" xfId="0" applyFill="1" applyBorder="1"/>
    <xf numFmtId="0" fontId="0" fillId="0" borderId="32" xfId="0" applyBorder="1"/>
    <xf numFmtId="0" fontId="0" fillId="5" borderId="31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33" xfId="0" applyFill="1" applyBorder="1"/>
    <xf numFmtId="0" fontId="0" fillId="0" borderId="52" xfId="0" applyBorder="1"/>
    <xf numFmtId="0" fontId="0" fillId="5" borderId="32" xfId="0" applyFill="1" applyBorder="1"/>
    <xf numFmtId="0" fontId="0" fillId="5" borderId="4" xfId="0" applyFill="1" applyBorder="1" applyAlignment="1"/>
    <xf numFmtId="0" fontId="16" fillId="0" borderId="0" xfId="0" applyFont="1"/>
    <xf numFmtId="0" fontId="9" fillId="0" borderId="0" xfId="2"/>
    <xf numFmtId="0" fontId="9" fillId="7" borderId="0" xfId="2" applyFill="1"/>
    <xf numFmtId="0" fontId="9" fillId="7" borderId="57" xfId="2" applyFill="1" applyBorder="1" applyAlignment="1">
      <alignment horizontal="center" vertical="center" wrapText="1"/>
    </xf>
    <xf numFmtId="0" fontId="9" fillId="0" borderId="29" xfId="2" applyBorder="1" applyAlignment="1">
      <alignment horizontal="center" vertical="center" wrapText="1"/>
    </xf>
    <xf numFmtId="0" fontId="9" fillId="7" borderId="21" xfId="2" applyFill="1" applyBorder="1" applyAlignment="1">
      <alignment horizontal="center"/>
    </xf>
    <xf numFmtId="0" fontId="9" fillId="7" borderId="60" xfId="2" applyFill="1" applyBorder="1" applyAlignment="1">
      <alignment horizontal="center" vertical="center" wrapText="1"/>
    </xf>
    <xf numFmtId="0" fontId="9" fillId="0" borderId="61" xfId="2" applyBorder="1"/>
    <xf numFmtId="0" fontId="9" fillId="0" borderId="4" xfId="2" applyBorder="1" applyAlignment="1">
      <alignment horizontal="center" vertical="center"/>
    </xf>
    <xf numFmtId="0" fontId="9" fillId="0" borderId="33" xfId="2" applyBorder="1" applyAlignment="1">
      <alignment horizontal="center" vertical="center"/>
    </xf>
    <xf numFmtId="0" fontId="9" fillId="7" borderId="27" xfId="2" applyFill="1" applyBorder="1" applyAlignment="1">
      <alignment horizontal="center" vertical="center"/>
    </xf>
    <xf numFmtId="0" fontId="9" fillId="0" borderId="61" xfId="2" applyBorder="1" applyAlignment="1">
      <alignment horizontal="center" vertical="center"/>
    </xf>
    <xf numFmtId="0" fontId="9" fillId="0" borderId="13" xfId="2" applyBorder="1" applyAlignment="1">
      <alignment horizontal="center" vertical="center"/>
    </xf>
    <xf numFmtId="0" fontId="9" fillId="7" borderId="39" xfId="2" applyFill="1" applyBorder="1" applyAlignment="1">
      <alignment horizontal="center" vertical="center" wrapText="1"/>
    </xf>
    <xf numFmtId="49" fontId="9" fillId="0" borderId="54" xfId="2" quotePrefix="1" applyNumberFormat="1" applyBorder="1" applyAlignment="1">
      <alignment horizontal="center"/>
    </xf>
    <xf numFmtId="164" fontId="13" fillId="3" borderId="19" xfId="2" applyNumberFormat="1" applyFont="1" applyFill="1" applyBorder="1" applyAlignment="1">
      <alignment horizontal="center"/>
    </xf>
    <xf numFmtId="0" fontId="9" fillId="7" borderId="9" xfId="2" applyFill="1" applyBorder="1" applyAlignment="1">
      <alignment horizontal="center"/>
    </xf>
    <xf numFmtId="0" fontId="9" fillId="7" borderId="37" xfId="2" applyFill="1" applyBorder="1" applyAlignment="1">
      <alignment horizontal="center" vertical="center"/>
    </xf>
    <xf numFmtId="49" fontId="9" fillId="0" borderId="63" xfId="2" quotePrefix="1" applyNumberFormat="1" applyBorder="1" applyAlignment="1">
      <alignment horizontal="center"/>
    </xf>
    <xf numFmtId="164" fontId="13" fillId="3" borderId="30" xfId="2" applyNumberFormat="1" applyFont="1" applyFill="1" applyBorder="1" applyAlignment="1">
      <alignment horizontal="center"/>
    </xf>
    <xf numFmtId="0" fontId="9" fillId="7" borderId="16" xfId="2" applyFill="1" applyBorder="1" applyAlignment="1">
      <alignment horizontal="center"/>
    </xf>
    <xf numFmtId="0" fontId="9" fillId="7" borderId="39" xfId="2" applyFill="1" applyBorder="1" applyAlignment="1">
      <alignment horizontal="center" vertical="center"/>
    </xf>
    <xf numFmtId="49" fontId="9" fillId="0" borderId="20" xfId="2" quotePrefix="1" applyNumberFormat="1" applyBorder="1" applyAlignment="1">
      <alignment horizontal="center"/>
    </xf>
    <xf numFmtId="0" fontId="9" fillId="7" borderId="60" xfId="2" applyFill="1" applyBorder="1" applyAlignment="1">
      <alignment horizontal="center" vertical="center"/>
    </xf>
    <xf numFmtId="49" fontId="9" fillId="0" borderId="37" xfId="2" quotePrefix="1" applyNumberFormat="1" applyBorder="1" applyAlignment="1">
      <alignment horizontal="center"/>
    </xf>
    <xf numFmtId="16" fontId="15" fillId="0" borderId="18" xfId="2" quotePrefix="1" applyNumberFormat="1" applyFont="1" applyBorder="1" applyAlignment="1">
      <alignment horizontal="center"/>
    </xf>
    <xf numFmtId="0" fontId="9" fillId="0" borderId="9" xfId="2" applyBorder="1" applyAlignment="1">
      <alignment horizontal="center"/>
    </xf>
    <xf numFmtId="0" fontId="9" fillId="0" borderId="19" xfId="2" applyBorder="1" applyAlignment="1">
      <alignment horizontal="center"/>
    </xf>
    <xf numFmtId="0" fontId="9" fillId="7" borderId="57" xfId="2" applyFill="1" applyBorder="1" applyAlignment="1">
      <alignment horizontal="center"/>
    </xf>
    <xf numFmtId="2" fontId="9" fillId="7" borderId="36" xfId="2" applyNumberFormat="1" applyFill="1" applyBorder="1" applyAlignment="1">
      <alignment horizontal="center" vertical="center"/>
    </xf>
    <xf numFmtId="49" fontId="9" fillId="0" borderId="39" xfId="2" quotePrefix="1" applyNumberFormat="1" applyBorder="1" applyAlignment="1">
      <alignment horizontal="center"/>
    </xf>
    <xf numFmtId="16" fontId="9" fillId="0" borderId="25" xfId="2" quotePrefix="1" applyNumberFormat="1" applyBorder="1" applyAlignment="1">
      <alignment horizontal="center"/>
    </xf>
    <xf numFmtId="0" fontId="9" fillId="0" borderId="16" xfId="2" applyBorder="1" applyAlignment="1">
      <alignment horizontal="center"/>
    </xf>
    <xf numFmtId="0" fontId="9" fillId="0" borderId="30" xfId="2" applyBorder="1" applyAlignment="1">
      <alignment horizontal="center"/>
    </xf>
    <xf numFmtId="0" fontId="9" fillId="7" borderId="65" xfId="2" applyFill="1" applyBorder="1" applyAlignment="1">
      <alignment horizontal="center"/>
    </xf>
    <xf numFmtId="2" fontId="9" fillId="7" borderId="41" xfId="2" applyNumberFormat="1" applyFill="1" applyBorder="1" applyAlignment="1">
      <alignment horizontal="center" vertical="center"/>
    </xf>
    <xf numFmtId="165" fontId="9" fillId="0" borderId="0" xfId="2" applyNumberFormat="1"/>
    <xf numFmtId="164" fontId="9" fillId="0" borderId="0" xfId="2" applyNumberFormat="1"/>
    <xf numFmtId="0" fontId="19" fillId="0" borderId="0" xfId="2" applyFont="1" applyAlignment="1">
      <alignment horizontal="right"/>
    </xf>
    <xf numFmtId="0" fontId="19" fillId="7" borderId="0" xfId="2" applyFont="1" applyFill="1" applyAlignment="1">
      <alignment horizontal="right"/>
    </xf>
    <xf numFmtId="1" fontId="9" fillId="0" borderId="0" xfId="2" applyNumberFormat="1"/>
    <xf numFmtId="165" fontId="14" fillId="0" borderId="0" xfId="2" applyNumberFormat="1" applyFont="1"/>
    <xf numFmtId="0" fontId="3" fillId="7" borderId="0" xfId="1" applyFont="1" applyFill="1"/>
    <xf numFmtId="165" fontId="3" fillId="0" borderId="0" xfId="1" applyNumberFormat="1" applyFont="1"/>
    <xf numFmtId="14" fontId="0" fillId="0" borderId="0" xfId="0" applyNumberFormat="1"/>
    <xf numFmtId="1" fontId="0" fillId="0" borderId="0" xfId="0" applyNumberFormat="1"/>
    <xf numFmtId="167" fontId="0" fillId="0" borderId="0" xfId="0" applyNumberFormat="1"/>
    <xf numFmtId="0" fontId="20" fillId="0" borderId="0" xfId="0" applyFont="1"/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4" fillId="0" borderId="0" xfId="0" applyFont="1"/>
    <xf numFmtId="0" fontId="25" fillId="0" borderId="0" xfId="0" applyFont="1"/>
    <xf numFmtId="0" fontId="27" fillId="0" borderId="55" xfId="0" applyFont="1" applyBorder="1" applyAlignment="1">
      <alignment horizontal="left"/>
    </xf>
    <xf numFmtId="0" fontId="27" fillId="0" borderId="46" xfId="0" applyFont="1" applyBorder="1" applyAlignment="1">
      <alignment horizontal="center"/>
    </xf>
    <xf numFmtId="0" fontId="27" fillId="0" borderId="66" xfId="0" applyFont="1" applyBorder="1" applyAlignment="1">
      <alignment horizontal="left"/>
    </xf>
    <xf numFmtId="0" fontId="27" fillId="0" borderId="0" xfId="0" applyFont="1" applyAlignment="1">
      <alignment horizontal="center"/>
    </xf>
    <xf numFmtId="0" fontId="27" fillId="0" borderId="66" xfId="0" applyFont="1" applyBorder="1" applyAlignment="1">
      <alignment horizontal="center"/>
    </xf>
    <xf numFmtId="0" fontId="27" fillId="2" borderId="66" xfId="0" applyFont="1" applyFill="1" applyBorder="1" applyAlignment="1">
      <alignment horizontal="center"/>
    </xf>
    <xf numFmtId="0" fontId="27" fillId="0" borderId="66" xfId="0" applyFont="1" applyBorder="1"/>
    <xf numFmtId="1" fontId="29" fillId="0" borderId="68" xfId="0" applyNumberFormat="1" applyFont="1" applyBorder="1" applyAlignment="1">
      <alignment horizontal="center" vertical="center"/>
    </xf>
    <xf numFmtId="165" fontId="31" fillId="0" borderId="68" xfId="0" applyNumberFormat="1" applyFont="1" applyBorder="1" applyAlignment="1">
      <alignment horizontal="center" vertical="center"/>
    </xf>
    <xf numFmtId="1" fontId="31" fillId="0" borderId="70" xfId="0" applyNumberFormat="1" applyFont="1" applyBorder="1" applyAlignment="1">
      <alignment horizontal="center" vertical="center"/>
    </xf>
    <xf numFmtId="165" fontId="30" fillId="2" borderId="71" xfId="0" applyNumberFormat="1" applyFont="1" applyFill="1" applyBorder="1" applyAlignment="1">
      <alignment horizontal="center" vertical="center"/>
    </xf>
    <xf numFmtId="1" fontId="31" fillId="0" borderId="71" xfId="0" applyNumberFormat="1" applyFont="1" applyBorder="1" applyAlignment="1">
      <alignment horizontal="center" vertical="center"/>
    </xf>
    <xf numFmtId="165" fontId="0" fillId="2" borderId="38" xfId="0" applyNumberFormat="1" applyFill="1" applyBorder="1" applyAlignment="1">
      <alignment horizontal="center"/>
    </xf>
    <xf numFmtId="165" fontId="0" fillId="2" borderId="49" xfId="0" applyNumberFormat="1" applyFill="1" applyBorder="1" applyAlignment="1">
      <alignment horizontal="center"/>
    </xf>
    <xf numFmtId="0" fontId="33" fillId="0" borderId="0" xfId="0" applyFont="1"/>
    <xf numFmtId="0" fontId="33" fillId="0" borderId="0" xfId="0" applyFont="1" applyAlignment="1">
      <alignment horizontal="right"/>
    </xf>
    <xf numFmtId="1" fontId="35" fillId="0" borderId="71" xfId="0" applyNumberFormat="1" applyFont="1" applyBorder="1" applyAlignment="1">
      <alignment horizontal="center" vertical="center"/>
    </xf>
    <xf numFmtId="165" fontId="36" fillId="8" borderId="62" xfId="0" applyNumberFormat="1" applyFont="1" applyFill="1" applyBorder="1" applyAlignment="1">
      <alignment horizontal="center"/>
    </xf>
    <xf numFmtId="165" fontId="30" fillId="0" borderId="70" xfId="0" applyNumberFormat="1" applyFont="1" applyBorder="1" applyAlignment="1">
      <alignment horizontal="center" vertical="center"/>
    </xf>
    <xf numFmtId="4" fontId="31" fillId="0" borderId="36" xfId="0" applyNumberFormat="1" applyFont="1" applyBorder="1" applyAlignment="1">
      <alignment horizontal="center" vertical="center"/>
    </xf>
    <xf numFmtId="1" fontId="35" fillId="0" borderId="70" xfId="0" applyNumberFormat="1" applyFont="1" applyBorder="1" applyAlignment="1">
      <alignment horizontal="center" vertical="center"/>
    </xf>
    <xf numFmtId="165" fontId="31" fillId="0" borderId="41" xfId="0" applyNumberFormat="1" applyFont="1" applyBorder="1" applyAlignment="1">
      <alignment horizontal="center" vertical="center"/>
    </xf>
    <xf numFmtId="1" fontId="35" fillId="0" borderId="0" xfId="0" applyNumberFormat="1" applyFont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1" fontId="31" fillId="0" borderId="0" xfId="0" applyNumberFormat="1" applyFont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165" fontId="31" fillId="0" borderId="0" xfId="0" applyNumberFormat="1" applyFont="1" applyAlignment="1">
      <alignment horizontal="center" vertical="center"/>
    </xf>
    <xf numFmtId="0" fontId="37" fillId="0" borderId="0" xfId="0" applyFont="1"/>
    <xf numFmtId="0" fontId="38" fillId="0" borderId="0" xfId="0" applyFont="1" applyAlignment="1">
      <alignment horizontal="right"/>
    </xf>
    <xf numFmtId="1" fontId="39" fillId="0" borderId="0" xfId="0" applyNumberFormat="1" applyFont="1" applyAlignment="1">
      <alignment horizontal="center" vertical="center"/>
    </xf>
    <xf numFmtId="1" fontId="40" fillId="2" borderId="0" xfId="0" applyNumberFormat="1" applyFont="1" applyFill="1" applyAlignment="1">
      <alignment horizontal="center" vertical="center"/>
    </xf>
    <xf numFmtId="1" fontId="41" fillId="2" borderId="0" xfId="0" applyNumberFormat="1" applyFont="1" applyFill="1" applyAlignment="1">
      <alignment horizontal="center" vertical="center"/>
    </xf>
    <xf numFmtId="165" fontId="41" fillId="2" borderId="0" xfId="0" applyNumberFormat="1" applyFont="1" applyFill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65" fontId="42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" fontId="38" fillId="0" borderId="0" xfId="0" applyNumberFormat="1" applyFont="1" applyAlignment="1">
      <alignment horizontal="center" vertical="center"/>
    </xf>
    <xf numFmtId="165" fontId="42" fillId="2" borderId="0" xfId="0" applyNumberFormat="1" applyFont="1" applyFill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1" fontId="33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right"/>
    </xf>
    <xf numFmtId="1" fontId="39" fillId="0" borderId="0" xfId="0" applyNumberFormat="1" applyFont="1" applyAlignment="1">
      <alignment horizontal="right" vertical="center"/>
    </xf>
    <xf numFmtId="2" fontId="3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right" vertical="center"/>
    </xf>
    <xf numFmtId="1" fontId="22" fillId="2" borderId="0" xfId="0" applyNumberFormat="1" applyFont="1" applyFill="1" applyAlignment="1">
      <alignment horizontal="left" vertical="center"/>
    </xf>
    <xf numFmtId="1" fontId="45" fillId="0" borderId="0" xfId="0" applyNumberFormat="1" applyFont="1" applyAlignment="1">
      <alignment horizontal="center" vertical="center"/>
    </xf>
    <xf numFmtId="169" fontId="30" fillId="0" borderId="0" xfId="0" applyNumberFormat="1" applyFont="1" applyAlignment="1">
      <alignment horizontal="center" vertical="center"/>
    </xf>
    <xf numFmtId="1" fontId="33" fillId="0" borderId="0" xfId="0" applyNumberFormat="1" applyFont="1" applyAlignment="1">
      <alignment horizontal="right" vertical="center"/>
    </xf>
    <xf numFmtId="1" fontId="22" fillId="0" borderId="0" xfId="0" applyNumberFormat="1" applyFont="1" applyAlignment="1">
      <alignment horizontal="left" vertical="center"/>
    </xf>
    <xf numFmtId="1" fontId="46" fillId="0" borderId="0" xfId="0" applyNumberFormat="1" applyFont="1" applyAlignment="1">
      <alignment horizontal="center" vertical="center"/>
    </xf>
    <xf numFmtId="1" fontId="47" fillId="0" borderId="0" xfId="0" applyNumberFormat="1" applyFont="1" applyAlignment="1">
      <alignment horizontal="center" vertical="center"/>
    </xf>
    <xf numFmtId="165" fontId="47" fillId="2" borderId="0" xfId="0" applyNumberFormat="1" applyFont="1" applyFill="1" applyAlignment="1">
      <alignment horizontal="center" vertical="center"/>
    </xf>
    <xf numFmtId="1" fontId="30" fillId="0" borderId="68" xfId="0" applyNumberFormat="1" applyFont="1" applyBorder="1" applyAlignment="1">
      <alignment horizontal="center"/>
    </xf>
    <xf numFmtId="1" fontId="30" fillId="2" borderId="68" xfId="0" applyNumberFormat="1" applyFont="1" applyFill="1" applyBorder="1" applyAlignment="1">
      <alignment horizontal="center"/>
    </xf>
    <xf numFmtId="1" fontId="31" fillId="0" borderId="68" xfId="0" applyNumberFormat="1" applyFont="1" applyBorder="1" applyAlignment="1">
      <alignment horizontal="center"/>
    </xf>
    <xf numFmtId="165" fontId="30" fillId="0" borderId="69" xfId="0" applyNumberFormat="1" applyFont="1" applyBorder="1" applyAlignment="1">
      <alignment horizontal="center"/>
    </xf>
    <xf numFmtId="1" fontId="31" fillId="0" borderId="69" xfId="0" applyNumberFormat="1" applyFont="1" applyBorder="1" applyAlignment="1">
      <alignment horizontal="center"/>
    </xf>
    <xf numFmtId="1" fontId="32" fillId="0" borderId="69" xfId="0" applyNumberFormat="1" applyFont="1" applyBorder="1" applyAlignment="1">
      <alignment horizontal="center"/>
    </xf>
    <xf numFmtId="165" fontId="31" fillId="0" borderId="69" xfId="0" applyNumberFormat="1" applyFont="1" applyBorder="1" applyAlignment="1">
      <alignment horizontal="center"/>
    </xf>
    <xf numFmtId="0" fontId="48" fillId="0" borderId="0" xfId="0" applyFont="1" applyAlignment="1"/>
    <xf numFmtId="1" fontId="29" fillId="0" borderId="68" xfId="0" applyNumberFormat="1" applyFont="1" applyBorder="1" applyAlignment="1">
      <alignment horizontal="center"/>
    </xf>
    <xf numFmtId="1" fontId="30" fillId="0" borderId="70" xfId="0" applyNumberFormat="1" applyFont="1" applyBorder="1" applyAlignment="1">
      <alignment horizontal="center"/>
    </xf>
    <xf numFmtId="1" fontId="30" fillId="2" borderId="70" xfId="0" applyNumberFormat="1" applyFont="1" applyFill="1" applyBorder="1" applyAlignment="1">
      <alignment horizontal="center"/>
    </xf>
    <xf numFmtId="1" fontId="31" fillId="0" borderId="70" xfId="0" applyNumberFormat="1" applyFont="1" applyBorder="1" applyAlignment="1">
      <alignment horizontal="center"/>
    </xf>
    <xf numFmtId="165" fontId="30" fillId="2" borderId="71" xfId="0" applyNumberFormat="1" applyFont="1" applyFill="1" applyBorder="1" applyAlignment="1">
      <alignment horizontal="center"/>
    </xf>
    <xf numFmtId="1" fontId="31" fillId="0" borderId="71" xfId="0" applyNumberFormat="1" applyFont="1" applyBorder="1" applyAlignment="1">
      <alignment horizontal="center"/>
    </xf>
    <xf numFmtId="1" fontId="29" fillId="0" borderId="70" xfId="0" applyNumberFormat="1" applyFont="1" applyBorder="1" applyAlignment="1">
      <alignment horizontal="center"/>
    </xf>
    <xf numFmtId="165" fontId="30" fillId="2" borderId="70" xfId="0" applyNumberFormat="1" applyFont="1" applyFill="1" applyBorder="1" applyAlignment="1">
      <alignment horizontal="center"/>
    </xf>
    <xf numFmtId="1" fontId="29" fillId="0" borderId="71" xfId="0" applyNumberFormat="1" applyFont="1" applyBorder="1" applyAlignment="1">
      <alignment horizontal="center"/>
    </xf>
    <xf numFmtId="1" fontId="35" fillId="0" borderId="78" xfId="0" applyNumberFormat="1" applyFont="1" applyBorder="1" applyAlignment="1">
      <alignment horizontal="center" vertical="center"/>
    </xf>
    <xf numFmtId="165" fontId="30" fillId="2" borderId="78" xfId="0" applyNumberFormat="1" applyFont="1" applyFill="1" applyBorder="1" applyAlignment="1">
      <alignment horizontal="center" vertical="center"/>
    </xf>
    <xf numFmtId="1" fontId="29" fillId="0" borderId="74" xfId="0" applyNumberFormat="1" applyFont="1" applyBorder="1" applyAlignment="1">
      <alignment horizontal="center" vertical="center"/>
    </xf>
    <xf numFmtId="1" fontId="29" fillId="0" borderId="70" xfId="0" applyNumberFormat="1" applyFont="1" applyBorder="1" applyAlignment="1">
      <alignment vertical="center"/>
    </xf>
    <xf numFmtId="166" fontId="0" fillId="0" borderId="54" xfId="0" applyNumberFormat="1" applyBorder="1"/>
    <xf numFmtId="2" fontId="44" fillId="2" borderId="0" xfId="0" applyNumberFormat="1" applyFont="1" applyFill="1" applyAlignment="1">
      <alignment horizontal="center" vertical="center"/>
    </xf>
    <xf numFmtId="0" fontId="40" fillId="2" borderId="0" xfId="0" applyNumberFormat="1" applyFont="1" applyFill="1" applyAlignment="1">
      <alignment horizontal="center" vertical="center"/>
    </xf>
    <xf numFmtId="0" fontId="3" fillId="0" borderId="0" xfId="1" applyFont="1" applyFill="1"/>
    <xf numFmtId="1" fontId="29" fillId="0" borderId="82" xfId="0" applyNumberFormat="1" applyFont="1" applyBorder="1" applyAlignment="1">
      <alignment horizontal="center" vertical="center"/>
    </xf>
    <xf numFmtId="1" fontId="29" fillId="0" borderId="76" xfId="0" applyNumberFormat="1" applyFont="1" applyBorder="1" applyAlignment="1">
      <alignment horizontal="center" vertical="center"/>
    </xf>
    <xf numFmtId="1" fontId="29" fillId="0" borderId="83" xfId="0" applyNumberFormat="1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1" fontId="50" fillId="0" borderId="80" xfId="0" applyNumberFormat="1" applyFont="1" applyBorder="1" applyAlignment="1">
      <alignment horizontal="center"/>
    </xf>
    <xf numFmtId="165" fontId="50" fillId="2" borderId="71" xfId="0" applyNumberFormat="1" applyFont="1" applyFill="1" applyBorder="1" applyAlignment="1">
      <alignment horizontal="center"/>
    </xf>
    <xf numFmtId="1" fontId="50" fillId="0" borderId="81" xfId="0" applyNumberFormat="1" applyFont="1" applyBorder="1" applyAlignment="1">
      <alignment horizontal="center"/>
    </xf>
    <xf numFmtId="1" fontId="50" fillId="2" borderId="70" xfId="0" applyNumberFormat="1" applyFont="1" applyFill="1" applyBorder="1" applyAlignment="1">
      <alignment horizontal="center"/>
    </xf>
    <xf numFmtId="165" fontId="50" fillId="2" borderId="70" xfId="0" applyNumberFormat="1" applyFont="1" applyFill="1" applyBorder="1" applyAlignment="1">
      <alignment horizontal="center"/>
    </xf>
    <xf numFmtId="1" fontId="50" fillId="0" borderId="71" xfId="0" applyNumberFormat="1" applyFont="1" applyBorder="1" applyAlignment="1">
      <alignment horizontal="center" vertical="center"/>
    </xf>
    <xf numFmtId="165" fontId="50" fillId="2" borderId="71" xfId="0" applyNumberFormat="1" applyFont="1" applyFill="1" applyBorder="1" applyAlignment="1">
      <alignment horizontal="center" vertical="center"/>
    </xf>
    <xf numFmtId="1" fontId="51" fillId="0" borderId="71" xfId="0" applyNumberFormat="1" applyFont="1" applyBorder="1" applyAlignment="1">
      <alignment horizontal="center" vertical="center"/>
    </xf>
    <xf numFmtId="1" fontId="50" fillId="0" borderId="78" xfId="0" applyNumberFormat="1" applyFont="1" applyBorder="1" applyAlignment="1">
      <alignment horizontal="center" vertical="center"/>
    </xf>
    <xf numFmtId="1" fontId="50" fillId="2" borderId="78" xfId="0" applyNumberFormat="1" applyFont="1" applyFill="1" applyBorder="1" applyAlignment="1">
      <alignment horizontal="center" vertical="center"/>
    </xf>
    <xf numFmtId="1" fontId="51" fillId="0" borderId="78" xfId="0" applyNumberFormat="1" applyFont="1" applyBorder="1" applyAlignment="1">
      <alignment horizontal="center" vertical="center"/>
    </xf>
    <xf numFmtId="1" fontId="50" fillId="2" borderId="71" xfId="0" applyNumberFormat="1" applyFont="1" applyFill="1" applyBorder="1" applyAlignment="1">
      <alignment horizontal="center" vertical="center"/>
    </xf>
    <xf numFmtId="1" fontId="50" fillId="0" borderId="70" xfId="0" applyNumberFormat="1" applyFont="1" applyBorder="1" applyAlignment="1">
      <alignment horizontal="center" vertical="center"/>
    </xf>
    <xf numFmtId="1" fontId="50" fillId="2" borderId="70" xfId="0" applyNumberFormat="1" applyFont="1" applyFill="1" applyBorder="1" applyAlignment="1">
      <alignment horizontal="center" vertical="center"/>
    </xf>
    <xf numFmtId="1" fontId="51" fillId="0" borderId="70" xfId="0" applyNumberFormat="1" applyFont="1" applyBorder="1" applyAlignment="1">
      <alignment horizontal="center" vertical="center"/>
    </xf>
    <xf numFmtId="0" fontId="48" fillId="0" borderId="73" xfId="0" applyFont="1" applyBorder="1" applyAlignment="1"/>
    <xf numFmtId="165" fontId="52" fillId="0" borderId="71" xfId="0" applyNumberFormat="1" applyFont="1" applyBorder="1" applyAlignment="1">
      <alignment horizontal="center" vertical="center"/>
    </xf>
    <xf numFmtId="2" fontId="51" fillId="0" borderId="71" xfId="0" applyNumberFormat="1" applyFont="1" applyBorder="1" applyAlignment="1">
      <alignment horizontal="center" vertical="center"/>
    </xf>
    <xf numFmtId="1" fontId="52" fillId="0" borderId="70" xfId="0" applyNumberFormat="1" applyFont="1" applyBorder="1" applyAlignment="1">
      <alignment horizontal="center" vertical="center"/>
    </xf>
    <xf numFmtId="1" fontId="53" fillId="0" borderId="70" xfId="0" applyNumberFormat="1" applyFont="1" applyBorder="1" applyAlignment="1">
      <alignment horizontal="center" vertical="center"/>
    </xf>
    <xf numFmtId="2" fontId="51" fillId="0" borderId="72" xfId="0" applyNumberFormat="1" applyFont="1" applyBorder="1" applyAlignment="1">
      <alignment horizontal="center" vertical="center"/>
    </xf>
    <xf numFmtId="1" fontId="51" fillId="0" borderId="72" xfId="0" applyNumberFormat="1" applyFont="1" applyBorder="1" applyAlignment="1">
      <alignment horizontal="center" vertical="center"/>
    </xf>
    <xf numFmtId="1" fontId="51" fillId="0" borderId="76" xfId="0" applyNumberFormat="1" applyFont="1" applyBorder="1" applyAlignment="1">
      <alignment horizontal="center" vertical="center"/>
    </xf>
    <xf numFmtId="2" fontId="51" fillId="0" borderId="47" xfId="0" applyNumberFormat="1" applyFont="1" applyBorder="1" applyAlignment="1">
      <alignment horizontal="center" vertical="center"/>
    </xf>
    <xf numFmtId="165" fontId="51" fillId="0" borderId="70" xfId="0" applyNumberFormat="1" applyFont="1" applyBorder="1" applyAlignment="1">
      <alignment horizontal="center" vertical="center"/>
    </xf>
    <xf numFmtId="165" fontId="51" fillId="0" borderId="76" xfId="0" applyNumberFormat="1" applyFont="1" applyBorder="1" applyAlignment="1">
      <alignment horizontal="center" vertical="center"/>
    </xf>
    <xf numFmtId="165" fontId="51" fillId="0" borderId="44" xfId="0" applyNumberFormat="1" applyFont="1" applyBorder="1" applyAlignment="1">
      <alignment horizontal="center" vertical="center"/>
    </xf>
    <xf numFmtId="165" fontId="51" fillId="0" borderId="55" xfId="0" applyNumberFormat="1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65" xfId="0" applyFont="1" applyBorder="1" applyAlignment="1">
      <alignment horizontal="center" vertical="center"/>
    </xf>
    <xf numFmtId="0" fontId="0" fillId="5" borderId="0" xfId="0" applyFill="1"/>
    <xf numFmtId="0" fontId="27" fillId="5" borderId="66" xfId="0" applyFont="1" applyFill="1" applyBorder="1" applyAlignment="1">
      <alignment horizontal="center"/>
    </xf>
    <xf numFmtId="1" fontId="31" fillId="5" borderId="69" xfId="0" applyNumberFormat="1" applyFont="1" applyFill="1" applyBorder="1" applyAlignment="1">
      <alignment horizontal="center"/>
    </xf>
    <xf numFmtId="1" fontId="54" fillId="5" borderId="71" xfId="0" applyNumberFormat="1" applyFont="1" applyFill="1" applyBorder="1" applyAlignment="1">
      <alignment horizontal="center" vertical="center"/>
    </xf>
    <xf numFmtId="1" fontId="51" fillId="5" borderId="70" xfId="0" applyNumberFormat="1" applyFont="1" applyFill="1" applyBorder="1" applyAlignment="1">
      <alignment horizontal="center" vertical="center"/>
    </xf>
    <xf numFmtId="1" fontId="31" fillId="5" borderId="0" xfId="0" applyNumberFormat="1" applyFont="1" applyFill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6" fontId="3" fillId="7" borderId="0" xfId="1" applyNumberFormat="1" applyFont="1" applyFill="1"/>
    <xf numFmtId="166" fontId="3" fillId="0" borderId="0" xfId="1" applyNumberFormat="1" applyFont="1"/>
    <xf numFmtId="2" fontId="13" fillId="3" borderId="18" xfId="2" quotePrefix="1" applyNumberFormat="1" applyFont="1" applyFill="1" applyBorder="1" applyAlignment="1">
      <alignment horizontal="center"/>
    </xf>
    <xf numFmtId="2" fontId="13" fillId="3" borderId="25" xfId="2" quotePrefix="1" applyNumberFormat="1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28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65" fontId="2" fillId="0" borderId="15" xfId="0" applyNumberFormat="1" applyFont="1" applyBorder="1" applyAlignment="1">
      <alignment vertical="center" wrapText="1"/>
    </xf>
    <xf numFmtId="165" fontId="2" fillId="0" borderId="34" xfId="0" applyNumberFormat="1" applyFont="1" applyBorder="1" applyAlignment="1">
      <alignment vertical="center" wrapText="1"/>
    </xf>
    <xf numFmtId="2" fontId="11" fillId="0" borderId="9" xfId="1" applyNumberFormat="1" applyFont="1" applyBorder="1" applyAlignment="1">
      <alignment vertical="center"/>
    </xf>
    <xf numFmtId="2" fontId="11" fillId="0" borderId="16" xfId="1" applyNumberFormat="1" applyFont="1" applyBorder="1" applyAlignment="1">
      <alignment vertical="center"/>
    </xf>
    <xf numFmtId="2" fontId="0" fillId="0" borderId="0" xfId="0" applyNumberFormat="1"/>
    <xf numFmtId="2" fontId="0" fillId="0" borderId="78" xfId="0" applyNumberFormat="1" applyBorder="1"/>
    <xf numFmtId="2" fontId="0" fillId="0" borderId="68" xfId="0" applyNumberFormat="1" applyBorder="1" applyAlignment="1">
      <alignment horizontal="center" vertical="center"/>
    </xf>
    <xf numFmtId="2" fontId="0" fillId="0" borderId="78" xfId="0" applyNumberFormat="1" applyBorder="1" applyAlignment="1">
      <alignment horizontal="center" vertical="center"/>
    </xf>
    <xf numFmtId="2" fontId="0" fillId="0" borderId="74" xfId="0" applyNumberFormat="1" applyBorder="1" applyAlignment="1">
      <alignment horizontal="center" vertical="center"/>
    </xf>
    <xf numFmtId="1" fontId="51" fillId="0" borderId="83" xfId="0" applyNumberFormat="1" applyFont="1" applyBorder="1" applyAlignment="1">
      <alignment horizontal="center" vertical="center"/>
    </xf>
    <xf numFmtId="1" fontId="29" fillId="0" borderId="78" xfId="0" applyNumberFormat="1" applyFont="1" applyBorder="1" applyAlignment="1">
      <alignment vertical="center"/>
    </xf>
    <xf numFmtId="1" fontId="29" fillId="0" borderId="80" xfId="0" applyNumberFormat="1" applyFont="1" applyBorder="1" applyAlignment="1">
      <alignment horizontal="center"/>
    </xf>
    <xf numFmtId="1" fontId="29" fillId="0" borderId="81" xfId="0" applyNumberFormat="1" applyFont="1" applyBorder="1" applyAlignment="1">
      <alignment horizontal="center"/>
    </xf>
    <xf numFmtId="165" fontId="31" fillId="0" borderId="71" xfId="0" applyNumberFormat="1" applyFont="1" applyBorder="1" applyAlignment="1">
      <alignment horizontal="center"/>
    </xf>
    <xf numFmtId="165" fontId="31" fillId="0" borderId="70" xfId="0" applyNumberFormat="1" applyFont="1" applyBorder="1" applyAlignment="1">
      <alignment horizontal="center"/>
    </xf>
    <xf numFmtId="1" fontId="7" fillId="0" borderId="42" xfId="0" applyNumberFormat="1" applyFont="1" applyBorder="1" applyAlignment="1">
      <alignment vertical="center" wrapText="1"/>
    </xf>
    <xf numFmtId="1" fontId="7" fillId="0" borderId="44" xfId="0" applyNumberFormat="1" applyFont="1" applyBorder="1" applyAlignment="1">
      <alignment vertical="center" wrapText="1"/>
    </xf>
    <xf numFmtId="0" fontId="7" fillId="0" borderId="44" xfId="0" applyFont="1" applyBorder="1" applyAlignment="1">
      <alignment vertical="center" wrapText="1"/>
    </xf>
    <xf numFmtId="2" fontId="51" fillId="0" borderId="70" xfId="0" applyNumberFormat="1" applyFont="1" applyBorder="1" applyAlignment="1">
      <alignment horizontal="center" vertical="center"/>
    </xf>
    <xf numFmtId="1" fontId="13" fillId="0" borderId="9" xfId="2" applyNumberFormat="1" applyFont="1" applyBorder="1" applyAlignment="1">
      <alignment horizontal="center"/>
    </xf>
    <xf numFmtId="1" fontId="13" fillId="0" borderId="16" xfId="2" applyNumberFormat="1" applyFont="1" applyBorder="1" applyAlignment="1">
      <alignment horizontal="center"/>
    </xf>
    <xf numFmtId="1" fontId="13" fillId="3" borderId="9" xfId="2" applyNumberFormat="1" applyFont="1" applyFill="1" applyBorder="1" applyAlignment="1">
      <alignment horizontal="center"/>
    </xf>
    <xf numFmtId="1" fontId="13" fillId="3" borderId="16" xfId="2" applyNumberFormat="1" applyFont="1" applyFill="1" applyBorder="1" applyAlignment="1">
      <alignment horizontal="center"/>
    </xf>
    <xf numFmtId="0" fontId="15" fillId="0" borderId="15" xfId="2" applyFont="1" applyBorder="1" applyAlignment="1">
      <alignment vertical="center"/>
    </xf>
    <xf numFmtId="164" fontId="15" fillId="0" borderId="8" xfId="2" applyNumberFormat="1" applyFont="1" applyBorder="1" applyAlignment="1">
      <alignment vertical="center"/>
    </xf>
    <xf numFmtId="164" fontId="15" fillId="0" borderId="15" xfId="2" applyNumberFormat="1" applyFont="1" applyBorder="1" applyAlignment="1">
      <alignment vertical="center"/>
    </xf>
    <xf numFmtId="1" fontId="15" fillId="0" borderId="8" xfId="2" applyNumberFormat="1" applyFont="1" applyBorder="1" applyAlignment="1">
      <alignment vertical="center"/>
    </xf>
    <xf numFmtId="1" fontId="11" fillId="0" borderId="9" xfId="1" applyNumberFormat="1" applyFont="1" applyBorder="1" applyAlignment="1">
      <alignment vertical="center"/>
    </xf>
    <xf numFmtId="1" fontId="11" fillId="0" borderId="16" xfId="1" applyNumberFormat="1" applyFont="1" applyBorder="1" applyAlignment="1">
      <alignment vertical="center"/>
    </xf>
    <xf numFmtId="164" fontId="11" fillId="0" borderId="9" xfId="1" applyNumberFormat="1" applyFont="1" applyBorder="1" applyAlignment="1">
      <alignment vertical="center"/>
    </xf>
    <xf numFmtId="164" fontId="11" fillId="0" borderId="16" xfId="1" applyNumberFormat="1" applyFont="1" applyBorder="1" applyAlignment="1">
      <alignment vertical="center"/>
    </xf>
    <xf numFmtId="165" fontId="11" fillId="0" borderId="8" xfId="1" applyNumberFormat="1" applyFont="1" applyBorder="1" applyAlignment="1">
      <alignment vertical="center"/>
    </xf>
    <xf numFmtId="165" fontId="3" fillId="0" borderId="15" xfId="1" applyNumberFormat="1" applyFont="1" applyBorder="1" applyAlignment="1">
      <alignment vertical="center"/>
    </xf>
    <xf numFmtId="0" fontId="0" fillId="0" borderId="47" xfId="0" applyBorder="1" applyAlignment="1">
      <alignment vertical="center"/>
    </xf>
    <xf numFmtId="2" fontId="7" fillId="0" borderId="41" xfId="0" applyNumberFormat="1" applyFont="1" applyBorder="1" applyAlignment="1">
      <alignment vertical="center" wrapText="1"/>
    </xf>
    <xf numFmtId="1" fontId="0" fillId="0" borderId="40" xfId="0" applyNumberFormat="1" applyBorder="1" applyAlignment="1"/>
    <xf numFmtId="0" fontId="0" fillId="0" borderId="40" xfId="0" applyBorder="1" applyAlignment="1"/>
    <xf numFmtId="0" fontId="0" fillId="0" borderId="41" xfId="0" applyBorder="1" applyAlignment="1"/>
    <xf numFmtId="165" fontId="3" fillId="0" borderId="16" xfId="1" applyNumberFormat="1" applyFont="1" applyBorder="1" applyAlignment="1">
      <alignment vertical="center"/>
    </xf>
    <xf numFmtId="1" fontId="3" fillId="0" borderId="9" xfId="1" applyNumberFormat="1" applyFont="1" applyBorder="1" applyAlignment="1">
      <alignment vertical="center"/>
    </xf>
    <xf numFmtId="1" fontId="3" fillId="0" borderId="16" xfId="1" applyNumberFormat="1" applyFont="1" applyBorder="1" applyAlignment="1">
      <alignment vertical="center"/>
    </xf>
    <xf numFmtId="0" fontId="0" fillId="0" borderId="36" xfId="0" applyBorder="1" applyAlignment="1"/>
    <xf numFmtId="2" fontId="40" fillId="2" borderId="0" xfId="0" applyNumberFormat="1" applyFont="1" applyFill="1" applyAlignment="1">
      <alignment horizontal="center" vertical="center"/>
    </xf>
    <xf numFmtId="164" fontId="49" fillId="2" borderId="0" xfId="0" applyNumberFormat="1" applyFont="1" applyFill="1" applyAlignment="1">
      <alignment horizontal="center" vertical="center"/>
    </xf>
    <xf numFmtId="164" fontId="43" fillId="2" borderId="0" xfId="0" applyNumberFormat="1" applyFont="1" applyFill="1" applyAlignment="1">
      <alignment horizontal="center" vertical="center"/>
    </xf>
    <xf numFmtId="164" fontId="44" fillId="2" borderId="0" xfId="0" applyNumberFormat="1" applyFont="1" applyFill="1" applyAlignment="1">
      <alignment horizontal="center" vertical="center"/>
    </xf>
    <xf numFmtId="1" fontId="49" fillId="2" borderId="0" xfId="0" applyNumberFormat="1" applyFont="1" applyFill="1" applyAlignment="1">
      <alignment horizontal="center" vertical="center"/>
    </xf>
    <xf numFmtId="164" fontId="7" fillId="0" borderId="36" xfId="0" applyNumberFormat="1" applyFont="1" applyBorder="1" applyAlignment="1">
      <alignment vertical="center" wrapText="1"/>
    </xf>
    <xf numFmtId="164" fontId="7" fillId="0" borderId="41" xfId="0" applyNumberFormat="1" applyFont="1" applyBorder="1" applyAlignment="1">
      <alignment vertical="center" wrapText="1"/>
    </xf>
    <xf numFmtId="2" fontId="11" fillId="0" borderId="8" xfId="1" applyNumberFormat="1" applyFont="1" applyBorder="1" applyAlignment="1">
      <alignment vertical="center"/>
    </xf>
    <xf numFmtId="2" fontId="3" fillId="0" borderId="8" xfId="1" applyNumberFormat="1" applyFont="1" applyBorder="1" applyAlignment="1">
      <alignment vertical="center"/>
    </xf>
    <xf numFmtId="2" fontId="3" fillId="0" borderId="15" xfId="1" applyNumberFormat="1" applyFont="1" applyBorder="1" applyAlignment="1">
      <alignment vertical="center"/>
    </xf>
    <xf numFmtId="2" fontId="3" fillId="0" borderId="9" xfId="1" applyNumberFormat="1" applyFont="1" applyBorder="1" applyAlignment="1">
      <alignment vertical="center"/>
    </xf>
    <xf numFmtId="2" fontId="3" fillId="0" borderId="16" xfId="1" applyNumberFormat="1" applyFont="1" applyBorder="1" applyAlignment="1">
      <alignment vertical="center"/>
    </xf>
    <xf numFmtId="2" fontId="2" fillId="0" borderId="5" xfId="0" applyNumberFormat="1" applyFont="1" applyBorder="1" applyAlignment="1">
      <alignment vertical="center" wrapText="1"/>
    </xf>
    <xf numFmtId="2" fontId="2" fillId="0" borderId="31" xfId="0" applyNumberFormat="1" applyFont="1" applyBorder="1" applyAlignment="1">
      <alignment vertical="center" wrapText="1"/>
    </xf>
    <xf numFmtId="2" fontId="2" fillId="0" borderId="6" xfId="0" applyNumberFormat="1" applyFont="1" applyBorder="1" applyAlignment="1">
      <alignment vertical="center" wrapText="1"/>
    </xf>
    <xf numFmtId="2" fontId="2" fillId="0" borderId="32" xfId="0" applyNumberFormat="1" applyFont="1" applyBorder="1" applyAlignment="1">
      <alignment vertical="center" wrapText="1"/>
    </xf>
    <xf numFmtId="2" fontId="2" fillId="0" borderId="4" xfId="0" applyNumberFormat="1" applyFont="1" applyBorder="1" applyAlignment="1">
      <alignment vertical="center" wrapText="1"/>
    </xf>
    <xf numFmtId="2" fontId="2" fillId="0" borderId="33" xfId="0" applyNumberFormat="1" applyFont="1" applyBorder="1" applyAlignment="1">
      <alignment vertical="center" wrapText="1"/>
    </xf>
    <xf numFmtId="2" fontId="2" fillId="0" borderId="15" xfId="0" applyNumberFormat="1" applyFont="1" applyBorder="1" applyAlignment="1">
      <alignment vertical="center" wrapText="1"/>
    </xf>
    <xf numFmtId="2" fontId="2" fillId="0" borderId="34" xfId="0" applyNumberFormat="1" applyFont="1" applyBorder="1" applyAlignment="1">
      <alignment vertical="center" wrapText="1"/>
    </xf>
    <xf numFmtId="2" fontId="2" fillId="0" borderId="28" xfId="0" applyNumberFormat="1" applyFont="1" applyBorder="1" applyAlignment="1">
      <alignment vertical="center" wrapText="1"/>
    </xf>
    <xf numFmtId="2" fontId="2" fillId="0" borderId="17" xfId="0" applyNumberFormat="1" applyFont="1" applyBorder="1" applyAlignment="1">
      <alignment vertical="center" wrapText="1"/>
    </xf>
    <xf numFmtId="1" fontId="51" fillId="0" borderId="68" xfId="0" applyNumberFormat="1" applyFont="1" applyFill="1" applyBorder="1" applyAlignment="1">
      <alignment vertical="center"/>
    </xf>
    <xf numFmtId="164" fontId="51" fillId="0" borderId="68" xfId="0" applyNumberFormat="1" applyFont="1" applyFill="1" applyBorder="1" applyAlignment="1">
      <alignment vertical="center"/>
    </xf>
    <xf numFmtId="1" fontId="51" fillId="0" borderId="70" xfId="0" applyNumberFormat="1" applyFont="1" applyFill="1" applyBorder="1" applyAlignment="1">
      <alignment vertical="center"/>
    </xf>
    <xf numFmtId="164" fontId="51" fillId="0" borderId="70" xfId="0" applyNumberFormat="1" applyFont="1" applyFill="1" applyBorder="1" applyAlignment="1">
      <alignment vertical="center"/>
    </xf>
    <xf numFmtId="2" fontId="51" fillId="0" borderId="7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35" xfId="0" applyNumberFormat="1" applyFont="1" applyBorder="1" applyAlignment="1">
      <alignment horizontal="center" vertical="center" wrapText="1"/>
    </xf>
    <xf numFmtId="2" fontId="2" fillId="0" borderId="32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165" fontId="2" fillId="0" borderId="31" xfId="0" applyNumberFormat="1" applyFont="1" applyBorder="1" applyAlignment="1">
      <alignment horizontal="center" vertical="center" wrapText="1"/>
    </xf>
    <xf numFmtId="165" fontId="2" fillId="0" borderId="3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64" fontId="2" fillId="0" borderId="28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0" fontId="0" fillId="5" borderId="47" xfId="0" applyFill="1" applyBorder="1" applyAlignment="1">
      <alignment horizontal="center" wrapText="1"/>
    </xf>
    <xf numFmtId="0" fontId="3" fillId="0" borderId="37" xfId="1" applyFont="1" applyBorder="1" applyAlignment="1">
      <alignment horizontal="center" vertical="center" wrapText="1"/>
    </xf>
    <xf numFmtId="0" fontId="3" fillId="0" borderId="38" xfId="1" applyFont="1" applyBorder="1" applyAlignment="1">
      <alignment horizontal="center" vertical="center" wrapText="1"/>
    </xf>
    <xf numFmtId="0" fontId="3" fillId="0" borderId="39" xfId="1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3" fillId="0" borderId="29" xfId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/>
    </xf>
    <xf numFmtId="0" fontId="3" fillId="0" borderId="48" xfId="2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2" fontId="3" fillId="0" borderId="42" xfId="1" applyNumberFormat="1" applyFont="1" applyBorder="1" applyAlignment="1">
      <alignment horizontal="center" vertical="center" wrapText="1"/>
    </xf>
    <xf numFmtId="2" fontId="3" fillId="0" borderId="43" xfId="1" applyNumberFormat="1" applyFont="1" applyBorder="1" applyAlignment="1">
      <alignment horizontal="center" vertical="center" wrapText="1"/>
    </xf>
    <xf numFmtId="2" fontId="3" fillId="0" borderId="50" xfId="1" applyNumberFormat="1" applyFont="1" applyBorder="1" applyAlignment="1">
      <alignment horizontal="center" vertical="center" wrapText="1"/>
    </xf>
    <xf numFmtId="2" fontId="3" fillId="0" borderId="51" xfId="1" applyNumberFormat="1" applyFont="1" applyBorder="1" applyAlignment="1">
      <alignment horizontal="center" vertical="center" wrapText="1"/>
    </xf>
    <xf numFmtId="2" fontId="3" fillId="4" borderId="37" xfId="1" applyNumberFormat="1" applyFont="1" applyFill="1" applyBorder="1" applyAlignment="1">
      <alignment horizontal="center" vertical="center" wrapText="1"/>
    </xf>
    <xf numFmtId="2" fontId="3" fillId="4" borderId="38" xfId="1" applyNumberFormat="1" applyFont="1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/>
    </xf>
    <xf numFmtId="0" fontId="3" fillId="0" borderId="37" xfId="1" applyFont="1" applyBorder="1" applyAlignment="1">
      <alignment horizontal="center" vertical="center"/>
    </xf>
    <xf numFmtId="0" fontId="3" fillId="0" borderId="38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166" fontId="3" fillId="0" borderId="16" xfId="1" applyNumberFormat="1" applyFont="1" applyBorder="1" applyAlignment="1">
      <alignment horizontal="center" vertical="center"/>
    </xf>
    <xf numFmtId="166" fontId="3" fillId="0" borderId="6" xfId="1" applyNumberFormat="1" applyFont="1" applyBorder="1" applyAlignment="1">
      <alignment horizontal="center" vertical="center"/>
    </xf>
    <xf numFmtId="2" fontId="11" fillId="0" borderId="6" xfId="1" applyNumberFormat="1" applyFont="1" applyBorder="1" applyAlignment="1">
      <alignment horizontal="center" vertical="center"/>
    </xf>
    <xf numFmtId="2" fontId="11" fillId="0" borderId="16" xfId="1" applyNumberFormat="1" applyFont="1" applyBorder="1" applyAlignment="1">
      <alignment horizontal="center" vertical="center"/>
    </xf>
    <xf numFmtId="165" fontId="3" fillId="0" borderId="9" xfId="1" applyNumberFormat="1" applyFont="1" applyBorder="1" applyAlignment="1">
      <alignment horizontal="center" vertical="center"/>
    </xf>
    <xf numFmtId="165" fontId="3" fillId="0" borderId="16" xfId="1" applyNumberFormat="1" applyFont="1" applyBorder="1" applyAlignment="1">
      <alignment horizontal="center" vertical="center"/>
    </xf>
    <xf numFmtId="1" fontId="3" fillId="0" borderId="9" xfId="1" applyNumberFormat="1" applyFont="1" applyBorder="1" applyAlignment="1">
      <alignment horizontal="center" vertical="center"/>
    </xf>
    <xf numFmtId="1" fontId="3" fillId="0" borderId="16" xfId="1" applyNumberFormat="1" applyFont="1" applyBorder="1" applyAlignment="1">
      <alignment horizontal="center" vertical="center"/>
    </xf>
    <xf numFmtId="165" fontId="3" fillId="0" borderId="8" xfId="1" applyNumberFormat="1" applyFont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9" fillId="0" borderId="19" xfId="2" applyBorder="1" applyAlignment="1">
      <alignment horizontal="center"/>
    </xf>
    <xf numFmtId="0" fontId="9" fillId="0" borderId="21" xfId="2" applyBorder="1" applyAlignment="1">
      <alignment horizontal="center"/>
    </xf>
    <xf numFmtId="0" fontId="9" fillId="0" borderId="29" xfId="2" applyBorder="1" applyAlignment="1">
      <alignment horizontal="center"/>
    </xf>
    <xf numFmtId="0" fontId="9" fillId="0" borderId="22" xfId="2" applyBorder="1" applyAlignment="1">
      <alignment horizontal="center"/>
    </xf>
    <xf numFmtId="0" fontId="9" fillId="0" borderId="37" xfId="2" applyBorder="1" applyAlignment="1">
      <alignment horizontal="center" vertical="center"/>
    </xf>
    <xf numFmtId="0" fontId="9" fillId="0" borderId="39" xfId="2" applyBorder="1" applyAlignment="1">
      <alignment horizontal="center" vertical="center"/>
    </xf>
    <xf numFmtId="0" fontId="9" fillId="0" borderId="22" xfId="2" applyBorder="1" applyAlignment="1">
      <alignment horizontal="center" vertical="center"/>
    </xf>
    <xf numFmtId="0" fontId="9" fillId="0" borderId="62" xfId="2" applyBorder="1" applyAlignment="1">
      <alignment horizontal="center" vertical="center"/>
    </xf>
    <xf numFmtId="0" fontId="9" fillId="7" borderId="8" xfId="2" applyFill="1" applyBorder="1" applyAlignment="1">
      <alignment horizontal="center" vertical="center"/>
    </xf>
    <xf numFmtId="0" fontId="9" fillId="7" borderId="15" xfId="2" applyFill="1" applyBorder="1" applyAlignment="1">
      <alignment horizontal="center" vertical="center"/>
    </xf>
    <xf numFmtId="0" fontId="9" fillId="0" borderId="37" xfId="2" applyBorder="1" applyAlignment="1">
      <alignment horizontal="center" vertical="center" wrapText="1"/>
    </xf>
    <xf numFmtId="0" fontId="9" fillId="0" borderId="38" xfId="2" applyBorder="1" applyAlignment="1">
      <alignment horizontal="center" vertical="center" wrapText="1"/>
    </xf>
    <xf numFmtId="0" fontId="9" fillId="0" borderId="39" xfId="2" applyBorder="1"/>
    <xf numFmtId="0" fontId="9" fillId="0" borderId="55" xfId="2" applyBorder="1" applyAlignment="1">
      <alignment horizontal="center" vertical="center" wrapText="1"/>
    </xf>
    <xf numFmtId="0" fontId="9" fillId="0" borderId="56" xfId="2" applyBorder="1" applyAlignment="1">
      <alignment horizontal="center" vertical="center" wrapText="1"/>
    </xf>
    <xf numFmtId="0" fontId="9" fillId="0" borderId="46" xfId="2" applyBorder="1" applyAlignment="1">
      <alignment horizontal="center" vertical="center" wrapText="1"/>
    </xf>
    <xf numFmtId="0" fontId="9" fillId="0" borderId="39" xfId="2" applyBorder="1" applyAlignment="1">
      <alignment horizontal="center" vertical="center" wrapText="1"/>
    </xf>
    <xf numFmtId="0" fontId="9" fillId="0" borderId="58" xfId="2" applyBorder="1" applyAlignment="1">
      <alignment horizontal="center" vertical="center"/>
    </xf>
    <xf numFmtId="0" fontId="9" fillId="0" borderId="59" xfId="2" applyBorder="1" applyAlignment="1">
      <alignment horizontal="center" vertical="center"/>
    </xf>
    <xf numFmtId="0" fontId="9" fillId="7" borderId="35" xfId="2" applyFill="1" applyBorder="1" applyAlignment="1">
      <alignment horizontal="center" vertical="center"/>
    </xf>
    <xf numFmtId="0" fontId="9" fillId="7" borderId="34" xfId="2" applyFill="1" applyBorder="1" applyAlignment="1">
      <alignment horizontal="center" vertical="center"/>
    </xf>
    <xf numFmtId="2" fontId="9" fillId="0" borderId="53" xfId="2" applyNumberFormat="1" applyBorder="1" applyAlignment="1">
      <alignment horizontal="center" vertical="center"/>
    </xf>
    <xf numFmtId="2" fontId="9" fillId="0" borderId="64" xfId="2" applyNumberFormat="1" applyBorder="1" applyAlignment="1">
      <alignment horizontal="center" vertical="center"/>
    </xf>
    <xf numFmtId="0" fontId="9" fillId="0" borderId="7" xfId="2" applyBorder="1" applyAlignment="1">
      <alignment horizontal="center" vertical="center"/>
    </xf>
    <xf numFmtId="0" fontId="9" fillId="0" borderId="14" xfId="2" applyBorder="1" applyAlignment="1">
      <alignment horizontal="center" vertical="center"/>
    </xf>
    <xf numFmtId="0" fontId="9" fillId="0" borderId="10" xfId="2" applyBorder="1" applyAlignment="1">
      <alignment horizontal="center" vertical="center"/>
    </xf>
    <xf numFmtId="0" fontId="9" fillId="0" borderId="17" xfId="2" applyBorder="1" applyAlignment="1">
      <alignment horizontal="center" vertical="center"/>
    </xf>
    <xf numFmtId="2" fontId="9" fillId="0" borderId="36" xfId="2" applyNumberFormat="1" applyBorder="1" applyAlignment="1">
      <alignment horizontal="center" vertical="center"/>
    </xf>
    <xf numFmtId="2" fontId="9" fillId="0" borderId="41" xfId="2" applyNumberForma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0" borderId="39" xfId="2" applyFont="1" applyBorder="1" applyAlignment="1">
      <alignment horizontal="center" vertical="center"/>
    </xf>
    <xf numFmtId="2" fontId="15" fillId="0" borderId="36" xfId="2" applyNumberFormat="1" applyFont="1" applyBorder="1" applyAlignment="1">
      <alignment horizontal="center" vertical="center"/>
    </xf>
    <xf numFmtId="2" fontId="15" fillId="0" borderId="41" xfId="2" applyNumberFormat="1" applyFont="1" applyBorder="1" applyAlignment="1">
      <alignment horizontal="center" vertical="center"/>
    </xf>
    <xf numFmtId="165" fontId="15" fillId="0" borderId="36" xfId="2" applyNumberFormat="1" applyFont="1" applyBorder="1" applyAlignment="1">
      <alignment horizontal="center" vertical="center"/>
    </xf>
    <xf numFmtId="165" fontId="15" fillId="0" borderId="41" xfId="2" applyNumberFormat="1" applyFont="1" applyBorder="1" applyAlignment="1">
      <alignment horizontal="center" vertical="center"/>
    </xf>
    <xf numFmtId="0" fontId="18" fillId="0" borderId="57" xfId="2" applyFont="1" applyBorder="1" applyAlignment="1">
      <alignment horizontal="center" vertical="center"/>
    </xf>
    <xf numFmtId="0" fontId="18" fillId="0" borderId="65" xfId="2" applyFon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15" fillId="0" borderId="40" xfId="0" applyNumberFormat="1" applyFont="1" applyBorder="1" applyAlignment="1">
      <alignment horizontal="center"/>
    </xf>
    <xf numFmtId="2" fontId="15" fillId="0" borderId="41" xfId="0" applyNumberFormat="1" applyFont="1" applyBorder="1" applyAlignment="1">
      <alignment horizontal="center"/>
    </xf>
    <xf numFmtId="2" fontId="9" fillId="0" borderId="10" xfId="2" applyNumberFormat="1" applyBorder="1" applyAlignment="1">
      <alignment horizontal="center" vertical="center"/>
    </xf>
    <xf numFmtId="2" fontId="9" fillId="0" borderId="17" xfId="2" applyNumberFormat="1" applyBorder="1" applyAlignment="1">
      <alignment horizontal="center" vertical="center"/>
    </xf>
    <xf numFmtId="2" fontId="15" fillId="0" borderId="43" xfId="2" applyNumberFormat="1" applyFont="1" applyBorder="1" applyAlignment="1">
      <alignment horizontal="center" vertical="center"/>
    </xf>
    <xf numFmtId="2" fontId="15" fillId="0" borderId="45" xfId="2" applyNumberFormat="1" applyFont="1" applyBorder="1" applyAlignment="1">
      <alignment horizontal="center" vertical="center"/>
    </xf>
    <xf numFmtId="0" fontId="17" fillId="0" borderId="29" xfId="2" applyFont="1" applyBorder="1" applyAlignment="1">
      <alignment horizontal="center" vertical="center"/>
    </xf>
    <xf numFmtId="0" fontId="17" fillId="0" borderId="85" xfId="2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9" fillId="0" borderId="29" xfId="2" applyBorder="1" applyAlignment="1">
      <alignment horizontal="center" vertical="center"/>
    </xf>
    <xf numFmtId="0" fontId="9" fillId="0" borderId="85" xfId="2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36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9" fillId="0" borderId="29" xfId="2" applyBorder="1" applyAlignment="1">
      <alignment horizontal="center" vertical="center" wrapText="1"/>
    </xf>
    <xf numFmtId="0" fontId="9" fillId="0" borderId="84" xfId="2" applyBorder="1" applyAlignment="1">
      <alignment horizontal="center" vertical="center" wrapText="1"/>
    </xf>
    <xf numFmtId="0" fontId="9" fillId="0" borderId="85" xfId="2" applyBorder="1"/>
    <xf numFmtId="2" fontId="0" fillId="2" borderId="36" xfId="0" applyNumberFormat="1" applyFill="1" applyBorder="1" applyAlignment="1">
      <alignment horizontal="center"/>
    </xf>
    <xf numFmtId="2" fontId="0" fillId="2" borderId="60" xfId="0" applyNumberFormat="1" applyFill="1" applyBorder="1" applyAlignment="1">
      <alignment horizontal="center"/>
    </xf>
    <xf numFmtId="2" fontId="0" fillId="2" borderId="75" xfId="0" applyNumberFormat="1" applyFill="1" applyBorder="1" applyAlignment="1">
      <alignment horizontal="center"/>
    </xf>
    <xf numFmtId="2" fontId="0" fillId="2" borderId="88" xfId="0" applyNumberFormat="1" applyFill="1" applyBorder="1" applyAlignment="1">
      <alignment horizontal="center"/>
    </xf>
    <xf numFmtId="170" fontId="34" fillId="8" borderId="89" xfId="0" applyNumberFormat="1" applyFont="1" applyFill="1" applyBorder="1" applyAlignment="1">
      <alignment horizontal="center" vertical="center"/>
    </xf>
    <xf numFmtId="170" fontId="34" fillId="8" borderId="41" xfId="0" applyNumberFormat="1" applyFont="1" applyFill="1" applyBorder="1" applyAlignment="1">
      <alignment horizontal="center" vertical="center"/>
    </xf>
    <xf numFmtId="170" fontId="34" fillId="8" borderId="86" xfId="0" applyNumberFormat="1" applyFont="1" applyFill="1" applyBorder="1" applyAlignment="1">
      <alignment horizontal="center" vertical="center"/>
    </xf>
    <xf numFmtId="170" fontId="34" fillId="8" borderId="77" xfId="0" applyNumberFormat="1" applyFont="1" applyFill="1" applyBorder="1" applyAlignment="1">
      <alignment horizontal="center" vertical="center"/>
    </xf>
    <xf numFmtId="0" fontId="0" fillId="5" borderId="33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52" xfId="0" applyFill="1" applyBorder="1" applyAlignment="1">
      <alignment horizontal="center"/>
    </xf>
    <xf numFmtId="0" fontId="0" fillId="5" borderId="33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52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53" xfId="0" applyFill="1" applyBorder="1" applyAlignment="1">
      <alignment horizontal="center" vertical="center" wrapText="1"/>
    </xf>
    <xf numFmtId="14" fontId="22" fillId="0" borderId="0" xfId="0" applyNumberFormat="1" applyFont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7" fillId="0" borderId="55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0" borderId="36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2" fontId="51" fillId="0" borderId="68" xfId="0" applyNumberFormat="1" applyFont="1" applyBorder="1" applyAlignment="1">
      <alignment horizontal="center" vertical="center"/>
    </xf>
    <xf numFmtId="2" fontId="51" fillId="0" borderId="78" xfId="0" applyNumberFormat="1" applyFont="1" applyBorder="1" applyAlignment="1">
      <alignment horizontal="center" vertical="center"/>
    </xf>
    <xf numFmtId="2" fontId="51" fillId="0" borderId="70" xfId="0" applyNumberFormat="1" applyFont="1" applyBorder="1" applyAlignment="1">
      <alignment horizontal="center" vertical="center"/>
    </xf>
    <xf numFmtId="2" fontId="51" fillId="0" borderId="73" xfId="0" applyNumberFormat="1" applyFont="1" applyBorder="1" applyAlignment="1">
      <alignment horizontal="center" vertical="center"/>
    </xf>
    <xf numFmtId="2" fontId="51" fillId="0" borderId="77" xfId="0" applyNumberFormat="1" applyFont="1" applyBorder="1" applyAlignment="1">
      <alignment horizontal="center" vertical="center"/>
    </xf>
    <xf numFmtId="2" fontId="51" fillId="0" borderId="74" xfId="0" applyNumberFormat="1" applyFont="1" applyBorder="1" applyAlignment="1">
      <alignment horizontal="center" vertical="center"/>
    </xf>
    <xf numFmtId="2" fontId="51" fillId="0" borderId="75" xfId="0" applyNumberFormat="1" applyFont="1" applyBorder="1" applyAlignment="1">
      <alignment horizontal="center" vertical="center"/>
    </xf>
    <xf numFmtId="2" fontId="51" fillId="0" borderId="79" xfId="0" applyNumberFormat="1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7" fillId="0" borderId="56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67" xfId="0" applyFont="1" applyBorder="1" applyAlignment="1">
      <alignment horizontal="center" vertical="center"/>
    </xf>
    <xf numFmtId="1" fontId="30" fillId="0" borderId="74" xfId="0" applyNumberFormat="1" applyFont="1" applyBorder="1" applyAlignment="1">
      <alignment horizontal="center" vertical="center"/>
    </xf>
    <xf numFmtId="1" fontId="30" fillId="0" borderId="71" xfId="0" applyNumberFormat="1" applyFont="1" applyBorder="1" applyAlignment="1">
      <alignment horizontal="center" vertical="center"/>
    </xf>
    <xf numFmtId="1" fontId="29" fillId="0" borderId="74" xfId="0" applyNumberFormat="1" applyFont="1" applyBorder="1" applyAlignment="1">
      <alignment horizontal="center" vertical="center"/>
    </xf>
    <xf numFmtId="1" fontId="29" fillId="0" borderId="70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52" fillId="0" borderId="68" xfId="0" applyNumberFormat="1" applyFont="1" applyBorder="1" applyAlignment="1">
      <alignment horizontal="center" vertical="center"/>
    </xf>
    <xf numFmtId="165" fontId="52" fillId="0" borderId="70" xfId="0" applyNumberFormat="1" applyFont="1" applyBorder="1" applyAlignment="1">
      <alignment horizontal="center" vertical="center"/>
    </xf>
    <xf numFmtId="1" fontId="51" fillId="0" borderId="68" xfId="0" applyNumberFormat="1" applyFont="1" applyBorder="1" applyAlignment="1">
      <alignment horizontal="center" vertical="center"/>
    </xf>
    <xf numFmtId="1" fontId="51" fillId="0" borderId="70" xfId="0" applyNumberFormat="1" applyFont="1" applyBorder="1" applyAlignment="1">
      <alignment horizontal="center" vertical="center"/>
    </xf>
    <xf numFmtId="0" fontId="0" fillId="5" borderId="68" xfId="0" applyFill="1" applyBorder="1" applyAlignment="1">
      <alignment horizontal="center" vertical="center"/>
    </xf>
    <xf numFmtId="0" fontId="0" fillId="5" borderId="70" xfId="0" applyFill="1" applyBorder="1" applyAlignment="1">
      <alignment horizontal="center" vertical="center"/>
    </xf>
    <xf numFmtId="164" fontId="51" fillId="0" borderId="68" xfId="0" applyNumberFormat="1" applyFont="1" applyBorder="1" applyAlignment="1">
      <alignment horizontal="center" vertical="center"/>
    </xf>
    <xf numFmtId="164" fontId="51" fillId="0" borderId="70" xfId="0" applyNumberFormat="1" applyFont="1" applyBorder="1" applyAlignment="1">
      <alignment horizontal="center" vertical="center"/>
    </xf>
    <xf numFmtId="2" fontId="51" fillId="0" borderId="82" xfId="0" applyNumberFormat="1" applyFont="1" applyBorder="1" applyAlignment="1">
      <alignment horizontal="center" vertical="center"/>
    </xf>
    <xf numFmtId="2" fontId="57" fillId="0" borderId="71" xfId="0" applyNumberFormat="1" applyFont="1" applyBorder="1" applyAlignment="1">
      <alignment horizontal="center"/>
    </xf>
    <xf numFmtId="2" fontId="57" fillId="0" borderId="70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1" fontId="50" fillId="0" borderId="74" xfId="0" applyNumberFormat="1" applyFont="1" applyBorder="1" applyAlignment="1">
      <alignment horizontal="center" vertical="center"/>
    </xf>
    <xf numFmtId="1" fontId="50" fillId="0" borderId="78" xfId="0" applyNumberFormat="1" applyFont="1" applyBorder="1" applyAlignment="1">
      <alignment horizontal="center" vertical="center"/>
    </xf>
    <xf numFmtId="1" fontId="51" fillId="0" borderId="78" xfId="0" applyNumberFormat="1" applyFont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 wrapText="1"/>
    </xf>
    <xf numFmtId="166" fontId="0" fillId="6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/>
    </xf>
    <xf numFmtId="0" fontId="6" fillId="5" borderId="3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55" fillId="0" borderId="68" xfId="0" applyFont="1" applyBorder="1" applyAlignment="1">
      <alignment horizontal="center" vertical="center"/>
    </xf>
    <xf numFmtId="0" fontId="55" fillId="0" borderId="70" xfId="0" applyFon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 wrapText="1"/>
    </xf>
    <xf numFmtId="2" fontId="0" fillId="0" borderId="43" xfId="0" applyNumberFormat="1" applyBorder="1" applyAlignment="1">
      <alignment wrapText="1"/>
    </xf>
    <xf numFmtId="2" fontId="0" fillId="0" borderId="44" xfId="0" applyNumberFormat="1" applyBorder="1" applyAlignment="1">
      <alignment wrapText="1"/>
    </xf>
    <xf numFmtId="2" fontId="0" fillId="0" borderId="45" xfId="0" applyNumberFormat="1" applyBorder="1" applyAlignment="1">
      <alignment wrapText="1"/>
    </xf>
    <xf numFmtId="2" fontId="51" fillId="0" borderId="76" xfId="0" applyNumberFormat="1" applyFont="1" applyBorder="1" applyAlignment="1">
      <alignment horizontal="center" vertical="center"/>
    </xf>
    <xf numFmtId="165" fontId="48" fillId="0" borderId="36" xfId="0" applyNumberFormat="1" applyFont="1" applyBorder="1" applyAlignment="1">
      <alignment horizontal="center"/>
    </xf>
    <xf numFmtId="165" fontId="48" fillId="0" borderId="41" xfId="0" applyNumberFormat="1" applyFont="1" applyBorder="1" applyAlignment="1">
      <alignment horizontal="center"/>
    </xf>
    <xf numFmtId="165" fontId="48" fillId="0" borderId="87" xfId="0" applyNumberFormat="1" applyFont="1" applyBorder="1" applyAlignment="1">
      <alignment horizontal="center"/>
    </xf>
    <xf numFmtId="165" fontId="48" fillId="0" borderId="81" xfId="0" applyNumberFormat="1" applyFont="1" applyBorder="1" applyAlignment="1">
      <alignment horizontal="center"/>
    </xf>
    <xf numFmtId="2" fontId="48" fillId="0" borderId="87" xfId="0" applyNumberFormat="1" applyFont="1" applyBorder="1" applyAlignment="1">
      <alignment horizontal="center"/>
    </xf>
    <xf numFmtId="2" fontId="48" fillId="0" borderId="81" xfId="0" applyNumberFormat="1" applyFont="1" applyBorder="1" applyAlignment="1">
      <alignment horizontal="center"/>
    </xf>
    <xf numFmtId="1" fontId="31" fillId="0" borderId="74" xfId="0" applyNumberFormat="1" applyFont="1" applyBorder="1" applyAlignment="1">
      <alignment horizontal="center"/>
    </xf>
    <xf numFmtId="1" fontId="31" fillId="0" borderId="70" xfId="0" applyNumberFormat="1" applyFont="1" applyBorder="1" applyAlignment="1">
      <alignment horizontal="center"/>
    </xf>
    <xf numFmtId="167" fontId="51" fillId="0" borderId="68" xfId="0" applyNumberFormat="1" applyFont="1" applyBorder="1" applyAlignment="1">
      <alignment horizontal="center" vertical="center"/>
    </xf>
    <xf numFmtId="167" fontId="51" fillId="0" borderId="78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3" xfId="2"/>
    <cellStyle name="Обычный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G1" zoomScaleNormal="100" workbookViewId="0">
      <selection activeCell="U7" sqref="U7:U10"/>
    </sheetView>
  </sheetViews>
  <sheetFormatPr defaultRowHeight="15.75"/>
  <cols>
    <col min="1" max="1" width="6.42578125" style="1" customWidth="1"/>
    <col min="2" max="2" width="6.28515625" style="1" customWidth="1"/>
    <col min="3" max="3" width="9.140625" style="1"/>
    <col min="4" max="5" width="12.7109375" style="1" customWidth="1"/>
    <col min="6" max="6" width="6.5703125" style="1" customWidth="1"/>
    <col min="7" max="10" width="10.42578125" style="1" customWidth="1"/>
    <col min="14" max="14" width="9.140625" customWidth="1"/>
    <col min="20" max="20" width="14.28515625" customWidth="1"/>
  </cols>
  <sheetData>
    <row r="1" spans="1:21">
      <c r="B1" s="372"/>
      <c r="C1" s="372"/>
      <c r="D1" s="372"/>
      <c r="E1" s="365"/>
      <c r="F1" s="365"/>
      <c r="G1" s="365"/>
      <c r="H1" s="365"/>
      <c r="I1" s="365"/>
      <c r="J1" s="365"/>
      <c r="K1" s="365"/>
      <c r="L1" s="365"/>
      <c r="M1" s="335"/>
      <c r="N1" s="335"/>
    </row>
    <row r="2" spans="1:21">
      <c r="D2" s="3"/>
      <c r="E2" s="2"/>
      <c r="F2" s="2"/>
      <c r="G2" s="2"/>
      <c r="H2" s="2"/>
      <c r="I2" s="24"/>
      <c r="J2" s="2"/>
      <c r="K2" s="2"/>
    </row>
    <row r="3" spans="1:21" ht="16.5" thickBot="1">
      <c r="C3" s="3"/>
      <c r="D3" s="3"/>
      <c r="E3" s="11"/>
      <c r="F3" s="11"/>
      <c r="G3" s="11"/>
      <c r="H3" s="11"/>
      <c r="I3" s="4"/>
      <c r="J3" s="4"/>
    </row>
    <row r="4" spans="1:21" ht="40.5" customHeight="1">
      <c r="A4" s="373" t="s">
        <v>0</v>
      </c>
      <c r="B4" s="380" t="s">
        <v>1</v>
      </c>
      <c r="C4" s="19" t="s">
        <v>2</v>
      </c>
      <c r="D4" s="379" t="s">
        <v>3</v>
      </c>
      <c r="E4" s="382"/>
      <c r="F4" s="20" t="s">
        <v>12</v>
      </c>
      <c r="G4" s="379" t="s">
        <v>4</v>
      </c>
      <c r="H4" s="382"/>
      <c r="I4" s="379" t="s">
        <v>5</v>
      </c>
      <c r="J4" s="342"/>
      <c r="K4" s="341" t="s">
        <v>14</v>
      </c>
      <c r="L4" s="342"/>
      <c r="M4" s="342"/>
      <c r="N4" s="346" t="s">
        <v>18</v>
      </c>
      <c r="P4" s="64" t="s">
        <v>50</v>
      </c>
      <c r="Q4" s="64" t="s">
        <v>51</v>
      </c>
      <c r="R4" s="64" t="s">
        <v>52</v>
      </c>
      <c r="S4" s="63" t="s">
        <v>53</v>
      </c>
      <c r="T4" s="63" t="s">
        <v>54</v>
      </c>
      <c r="U4" s="63" t="s">
        <v>56</v>
      </c>
    </row>
    <row r="5" spans="1:21">
      <c r="A5" s="374"/>
      <c r="B5" s="381"/>
      <c r="C5" s="5"/>
      <c r="D5" s="7" t="s">
        <v>6</v>
      </c>
      <c r="E5" s="7" t="s">
        <v>7</v>
      </c>
      <c r="F5" s="7" t="s">
        <v>7</v>
      </c>
      <c r="G5" s="7" t="s">
        <v>6</v>
      </c>
      <c r="H5" s="7" t="s">
        <v>7</v>
      </c>
      <c r="I5" s="7" t="s">
        <v>6</v>
      </c>
      <c r="J5" s="6" t="s">
        <v>7</v>
      </c>
      <c r="K5" s="27" t="s">
        <v>15</v>
      </c>
      <c r="L5" s="7" t="s">
        <v>16</v>
      </c>
      <c r="M5" s="6" t="s">
        <v>17</v>
      </c>
      <c r="N5" s="347"/>
    </row>
    <row r="6" spans="1:21" ht="16.5" thickBot="1">
      <c r="A6" s="22">
        <v>1</v>
      </c>
      <c r="B6" s="15">
        <v>2</v>
      </c>
      <c r="C6" s="15">
        <v>3</v>
      </c>
      <c r="D6" s="15">
        <v>4</v>
      </c>
      <c r="E6" s="15">
        <v>5</v>
      </c>
      <c r="F6" s="15">
        <v>6</v>
      </c>
      <c r="G6" s="15">
        <v>7</v>
      </c>
      <c r="H6" s="15">
        <v>8</v>
      </c>
      <c r="I6" s="15">
        <v>9</v>
      </c>
      <c r="J6" s="28">
        <v>10</v>
      </c>
      <c r="K6" s="22">
        <v>11</v>
      </c>
      <c r="L6" s="15">
        <v>12</v>
      </c>
      <c r="M6" s="28">
        <v>13</v>
      </c>
      <c r="N6" s="29">
        <v>14</v>
      </c>
    </row>
    <row r="7" spans="1:21">
      <c r="A7" s="358">
        <v>1</v>
      </c>
      <c r="B7" s="361">
        <v>5</v>
      </c>
      <c r="C7" s="12" t="s">
        <v>8</v>
      </c>
      <c r="D7" s="13">
        <v>67</v>
      </c>
      <c r="E7" s="14">
        <v>0</v>
      </c>
      <c r="F7" s="352">
        <f>(E7-E8)/2</f>
        <v>0</v>
      </c>
      <c r="G7" s="363">
        <f>TRUNC(T7)</f>
        <v>86</v>
      </c>
      <c r="H7" s="352">
        <f>MOD(T7,IF(T7&lt;0,-1,1))*60</f>
        <v>49.999999382625617</v>
      </c>
      <c r="I7" s="258">
        <f>TRUNC(U7)</f>
        <v>86</v>
      </c>
      <c r="J7" s="261">
        <f t="shared" ref="J7" si="0">MOD(U7,IF(U7&lt;0,-1,1))*60</f>
        <v>49.499999691312269</v>
      </c>
      <c r="K7" s="366"/>
      <c r="L7" s="366"/>
      <c r="M7" s="368"/>
      <c r="N7" s="301"/>
      <c r="P7" s="65">
        <f>RADIANS(D7)</f>
        <v>1.1693705988362009</v>
      </c>
      <c r="Q7" s="65">
        <f>RADIANS(E7/60)</f>
        <v>0</v>
      </c>
      <c r="R7" s="65">
        <f>P7+Q7</f>
        <v>1.1693705988362009</v>
      </c>
      <c r="S7" s="336">
        <f>IF(R7&lt;R9,R7+2*3.1415926535-R9,R7-R9)</f>
        <v>1.5155275669688226</v>
      </c>
      <c r="T7" s="336">
        <f>DEGREES(S7)</f>
        <v>86.83333332304376</v>
      </c>
      <c r="U7" s="336">
        <f>AVERAGE(T7,T9)</f>
        <v>86.824999994855204</v>
      </c>
    </row>
    <row r="8" spans="1:21" ht="16.5" thickBot="1">
      <c r="A8" s="359"/>
      <c r="B8" s="362"/>
      <c r="C8" s="7" t="s">
        <v>9</v>
      </c>
      <c r="D8" s="8">
        <v>247</v>
      </c>
      <c r="E8" s="9">
        <v>0</v>
      </c>
      <c r="F8" s="353"/>
      <c r="G8" s="364"/>
      <c r="H8" s="353"/>
      <c r="I8" s="259"/>
      <c r="J8" s="262"/>
      <c r="K8" s="367"/>
      <c r="L8" s="367"/>
      <c r="M8" s="369"/>
      <c r="N8" s="302"/>
      <c r="P8" s="65">
        <f t="shared" ref="P8:P26" si="1">RADIANS(D8)</f>
        <v>4.310963252425994</v>
      </c>
      <c r="Q8" s="65">
        <f t="shared" ref="Q8:Q26" si="2">RADIANS(E8/60)</f>
        <v>0</v>
      </c>
      <c r="R8" s="65">
        <f t="shared" ref="R8:R26" si="3">P8+Q8</f>
        <v>4.310963252425994</v>
      </c>
      <c r="S8" s="336"/>
      <c r="T8" s="336"/>
      <c r="U8" s="336"/>
    </row>
    <row r="9" spans="1:21">
      <c r="A9" s="359"/>
      <c r="B9" s="370">
        <v>2</v>
      </c>
      <c r="C9" s="7" t="s">
        <v>8</v>
      </c>
      <c r="D9" s="8">
        <v>340</v>
      </c>
      <c r="E9" s="9">
        <v>10</v>
      </c>
      <c r="F9" s="352">
        <f t="shared" ref="F9" si="4">(E9-E10)/2</f>
        <v>-0.5</v>
      </c>
      <c r="G9" s="363">
        <f t="shared" ref="G9" si="5">TRUNC(T9)</f>
        <v>86</v>
      </c>
      <c r="H9" s="352">
        <f t="shared" ref="H9" si="6">MOD(T9,IF(T9&lt;0,-1,1))*60</f>
        <v>48.999999999999773</v>
      </c>
      <c r="I9" s="259"/>
      <c r="J9" s="262"/>
      <c r="K9" s="320">
        <v>51.21</v>
      </c>
      <c r="L9" s="320">
        <v>51.25</v>
      </c>
      <c r="M9" s="321">
        <f>AVERAGE(K9,L9)</f>
        <v>51.230000000000004</v>
      </c>
      <c r="N9" s="301">
        <f>'Ведомость D_d'!I6</f>
        <v>1280.7500000000275</v>
      </c>
      <c r="P9" s="65">
        <f t="shared" si="1"/>
        <v>5.9341194567807207</v>
      </c>
      <c r="Q9" s="65">
        <f t="shared" si="2"/>
        <v>2.9088820866572159E-3</v>
      </c>
      <c r="R9" s="65">
        <f t="shared" si="3"/>
        <v>5.9370283388673784</v>
      </c>
      <c r="S9" s="336">
        <f>IF(R8&lt;R10,R8+2*3.1415926535-R10,R8-R10)</f>
        <v>1.5152366789397438</v>
      </c>
      <c r="T9" s="336">
        <f t="shared" ref="T9" si="7">DEGREES(S9)</f>
        <v>86.816666666666663</v>
      </c>
      <c r="U9" s="336"/>
    </row>
    <row r="10" spans="1:21" ht="16.5" thickBot="1">
      <c r="A10" s="360"/>
      <c r="B10" s="371"/>
      <c r="C10" s="15" t="s">
        <v>9</v>
      </c>
      <c r="D10" s="16">
        <v>160</v>
      </c>
      <c r="E10" s="17">
        <v>11</v>
      </c>
      <c r="F10" s="353"/>
      <c r="G10" s="364"/>
      <c r="H10" s="353"/>
      <c r="I10" s="260"/>
      <c r="J10" s="263"/>
      <c r="K10" s="322"/>
      <c r="L10" s="322"/>
      <c r="M10" s="323"/>
      <c r="N10" s="303"/>
      <c r="P10" s="65">
        <f t="shared" si="1"/>
        <v>2.7925268031909272</v>
      </c>
      <c r="Q10" s="65">
        <f t="shared" si="2"/>
        <v>3.1997702953229373E-3</v>
      </c>
      <c r="R10" s="65">
        <f t="shared" si="3"/>
        <v>2.7957265734862502</v>
      </c>
      <c r="S10" s="336"/>
      <c r="T10" s="336"/>
      <c r="U10" s="336"/>
    </row>
    <row r="11" spans="1:21">
      <c r="A11" s="358">
        <v>2</v>
      </c>
      <c r="B11" s="361">
        <v>1</v>
      </c>
      <c r="C11" s="12" t="s">
        <v>8</v>
      </c>
      <c r="D11" s="13">
        <v>312</v>
      </c>
      <c r="E11" s="14">
        <v>43</v>
      </c>
      <c r="F11" s="352">
        <f t="shared" ref="F11" si="8">(E11-E12)/2</f>
        <v>-0.5</v>
      </c>
      <c r="G11" s="363">
        <f t="shared" ref="G11" si="9">TRUNC(T11)</f>
        <v>116</v>
      </c>
      <c r="H11" s="352">
        <f t="shared" ref="H11" si="10">MOD(T11,IF(T11&lt;0,-1,1))*60</f>
        <v>51.999999999997897</v>
      </c>
      <c r="I11" s="258">
        <f t="shared" ref="I11" si="11">TRUNC(U11)</f>
        <v>116</v>
      </c>
      <c r="J11" s="261">
        <f t="shared" ref="J11" si="12">MOD(U11,IF(U11&lt;0,-1,1))*60</f>
        <v>51.999999999999602</v>
      </c>
      <c r="K11" s="348"/>
      <c r="L11" s="348"/>
      <c r="M11" s="350"/>
      <c r="N11" s="307"/>
      <c r="P11" s="65">
        <f t="shared" si="1"/>
        <v>5.4454272662223078</v>
      </c>
      <c r="Q11" s="65">
        <f t="shared" si="2"/>
        <v>1.2508192972626028E-2</v>
      </c>
      <c r="R11" s="65">
        <f t="shared" si="3"/>
        <v>5.4579354591949336</v>
      </c>
      <c r="S11" s="336">
        <f>IF(R11&lt;R13,R11+2*3.1415926535-R13,R11-R13)</f>
        <v>2.0397081191640392</v>
      </c>
      <c r="T11" s="336">
        <f t="shared" ref="T11" si="13">DEGREES(S11)</f>
        <v>116.86666666666663</v>
      </c>
      <c r="U11" s="336">
        <f t="shared" ref="U11" si="14">AVERAGE(T11,T13)</f>
        <v>116.86666666666666</v>
      </c>
    </row>
    <row r="12" spans="1:21" ht="16.5" thickBot="1">
      <c r="A12" s="359"/>
      <c r="B12" s="362"/>
      <c r="C12" s="7" t="s">
        <v>9</v>
      </c>
      <c r="D12" s="8">
        <v>132</v>
      </c>
      <c r="E12" s="9">
        <v>44</v>
      </c>
      <c r="F12" s="353"/>
      <c r="G12" s="364"/>
      <c r="H12" s="353"/>
      <c r="I12" s="259"/>
      <c r="J12" s="262"/>
      <c r="K12" s="349"/>
      <c r="L12" s="349"/>
      <c r="M12" s="351"/>
      <c r="N12" s="302"/>
      <c r="P12" s="65">
        <f t="shared" si="1"/>
        <v>2.3038346126325151</v>
      </c>
      <c r="Q12" s="65">
        <f t="shared" si="2"/>
        <v>1.2799081181291749E-2</v>
      </c>
      <c r="R12" s="65">
        <f t="shared" si="3"/>
        <v>2.3166336938138068</v>
      </c>
      <c r="S12" s="336"/>
      <c r="T12" s="336"/>
      <c r="U12" s="336"/>
    </row>
    <row r="13" spans="1:21">
      <c r="A13" s="359"/>
      <c r="B13" s="370">
        <v>3</v>
      </c>
      <c r="C13" s="7" t="s">
        <v>8</v>
      </c>
      <c r="D13" s="8">
        <v>195</v>
      </c>
      <c r="E13" s="9">
        <v>51</v>
      </c>
      <c r="F13" s="352">
        <f t="shared" ref="F13" si="15">(E13-E14)/2</f>
        <v>-0.5</v>
      </c>
      <c r="G13" s="363">
        <f t="shared" ref="G13" si="16">TRUNC(T13)</f>
        <v>116</v>
      </c>
      <c r="H13" s="352">
        <f t="shared" ref="H13" si="17">MOD(T13,IF(T13&lt;0,-1,1))*60</f>
        <v>52.000000000001307</v>
      </c>
      <c r="I13" s="259"/>
      <c r="J13" s="262"/>
      <c r="K13" s="324">
        <v>40.43</v>
      </c>
      <c r="L13" s="324">
        <v>40.42</v>
      </c>
      <c r="M13" s="325">
        <f>AVERAGE(K13,L13)</f>
        <v>40.424999999999997</v>
      </c>
      <c r="N13" s="301">
        <f>'Ведомость D_d'!I8</f>
        <v>4042.500000000804</v>
      </c>
      <c r="P13" s="65">
        <f t="shared" si="1"/>
        <v>3.4033920413889427</v>
      </c>
      <c r="Q13" s="65">
        <f t="shared" si="2"/>
        <v>1.4835298641951801E-2</v>
      </c>
      <c r="R13" s="65">
        <f t="shared" si="3"/>
        <v>3.4182273400308945</v>
      </c>
      <c r="S13" s="336">
        <f>IF(R12&lt;R14,R12+2*3.1415926535-R14,R12-R14)</f>
        <v>2.03970811916404</v>
      </c>
      <c r="T13" s="336">
        <f t="shared" ref="T13" si="18">DEGREES(S13)</f>
        <v>116.86666666666669</v>
      </c>
      <c r="U13" s="336"/>
    </row>
    <row r="14" spans="1:21" ht="16.5" thickBot="1">
      <c r="A14" s="360"/>
      <c r="B14" s="371"/>
      <c r="C14" s="15" t="s">
        <v>9</v>
      </c>
      <c r="D14" s="16">
        <v>15</v>
      </c>
      <c r="E14" s="17">
        <v>52</v>
      </c>
      <c r="F14" s="353"/>
      <c r="G14" s="364"/>
      <c r="H14" s="353"/>
      <c r="I14" s="260"/>
      <c r="J14" s="263"/>
      <c r="K14" s="326"/>
      <c r="L14" s="326"/>
      <c r="M14" s="327"/>
      <c r="N14" s="303"/>
      <c r="P14" s="65">
        <f t="shared" si="1"/>
        <v>0.26179938779914941</v>
      </c>
      <c r="Q14" s="65">
        <f t="shared" si="2"/>
        <v>1.5126186850617522E-2</v>
      </c>
      <c r="R14" s="65">
        <f t="shared" si="3"/>
        <v>0.27692557464976691</v>
      </c>
      <c r="S14" s="336"/>
      <c r="T14" s="336"/>
      <c r="U14" s="336"/>
    </row>
    <row r="15" spans="1:21">
      <c r="A15" s="358">
        <v>3</v>
      </c>
      <c r="B15" s="361">
        <v>2</v>
      </c>
      <c r="C15" s="12" t="s">
        <v>8</v>
      </c>
      <c r="D15" s="13">
        <v>60</v>
      </c>
      <c r="E15" s="14">
        <v>50</v>
      </c>
      <c r="F15" s="352">
        <f t="shared" ref="F15" si="19">(E15-E16)/2</f>
        <v>0</v>
      </c>
      <c r="G15" s="363">
        <f t="shared" ref="G15" si="20">TRUNC(T15)</f>
        <v>116</v>
      </c>
      <c r="H15" s="352">
        <f t="shared" ref="H15" si="21">MOD(T15,IF(T15&lt;0,-1,1))*60</f>
        <v>24.999999382626186</v>
      </c>
      <c r="I15" s="258">
        <f t="shared" ref="I15" si="22">TRUNC(U15)</f>
        <v>116</v>
      </c>
      <c r="J15" s="261">
        <f t="shared" ref="J15" si="23">MOD(U15,IF(U15&lt;0,-1,1))*60</f>
        <v>24.999999691312382</v>
      </c>
      <c r="K15" s="348"/>
      <c r="L15" s="348"/>
      <c r="M15" s="356"/>
      <c r="N15" s="307"/>
      <c r="P15" s="65">
        <f t="shared" si="1"/>
        <v>1.0471975511965976</v>
      </c>
      <c r="Q15" s="65">
        <f t="shared" si="2"/>
        <v>1.454441043328608E-2</v>
      </c>
      <c r="R15" s="65">
        <f t="shared" si="3"/>
        <v>1.0617419616298838</v>
      </c>
      <c r="S15" s="336">
        <f t="shared" ref="S15" si="24">IF(R15&lt;R17,R15+2*3.1415926535-R17,R15-R17)</f>
        <v>2.0318541373504786</v>
      </c>
      <c r="T15" s="336">
        <f t="shared" ref="T15" si="25">DEGREES(S15)</f>
        <v>116.4166666563771</v>
      </c>
      <c r="U15" s="336">
        <f t="shared" ref="U15" si="26">AVERAGE(T15,T17)</f>
        <v>116.41666666152187</v>
      </c>
    </row>
    <row r="16" spans="1:21" ht="16.5" thickBot="1">
      <c r="A16" s="359"/>
      <c r="B16" s="362"/>
      <c r="C16" s="7" t="s">
        <v>9</v>
      </c>
      <c r="D16" s="8">
        <v>240</v>
      </c>
      <c r="E16" s="9">
        <v>50</v>
      </c>
      <c r="F16" s="353"/>
      <c r="G16" s="364"/>
      <c r="H16" s="353"/>
      <c r="I16" s="259"/>
      <c r="J16" s="262"/>
      <c r="K16" s="349"/>
      <c r="L16" s="349"/>
      <c r="M16" s="357"/>
      <c r="N16" s="302"/>
      <c r="P16" s="65">
        <f t="shared" si="1"/>
        <v>4.1887902047863905</v>
      </c>
      <c r="Q16" s="65">
        <f t="shared" si="2"/>
        <v>1.454441043328608E-2</v>
      </c>
      <c r="R16" s="65">
        <f t="shared" si="3"/>
        <v>4.2033346152196769</v>
      </c>
      <c r="S16" s="336"/>
      <c r="T16" s="336"/>
      <c r="U16" s="336"/>
    </row>
    <row r="17" spans="1:21">
      <c r="A17" s="359"/>
      <c r="B17" s="370">
        <v>4</v>
      </c>
      <c r="C17" s="7" t="s">
        <v>8</v>
      </c>
      <c r="D17" s="8">
        <v>304</v>
      </c>
      <c r="E17" s="9">
        <v>25</v>
      </c>
      <c r="F17" s="352">
        <f t="shared" ref="F17" si="27">(E17-E18)/2</f>
        <v>0</v>
      </c>
      <c r="G17" s="363">
        <f t="shared" ref="G17" si="28">TRUNC(T17)</f>
        <v>116</v>
      </c>
      <c r="H17" s="352">
        <f t="shared" ref="H17" si="29">MOD(T17,IF(T17&lt;0,-1,1))*60</f>
        <v>24.999999999999432</v>
      </c>
      <c r="I17" s="259"/>
      <c r="J17" s="262"/>
      <c r="K17" s="324">
        <v>58.57</v>
      </c>
      <c r="L17" s="324">
        <v>58.6</v>
      </c>
      <c r="M17" s="328">
        <f>AVERAGE(L17,K17)</f>
        <v>58.585000000000001</v>
      </c>
      <c r="N17" s="301">
        <f>'Ведомость D_d'!I10</f>
        <v>1952.8333333332594</v>
      </c>
      <c r="P17" s="65">
        <f t="shared" si="1"/>
        <v>5.3058009260627621</v>
      </c>
      <c r="Q17" s="65">
        <f t="shared" si="2"/>
        <v>7.2722052166430398E-3</v>
      </c>
      <c r="R17" s="65">
        <f t="shared" si="3"/>
        <v>5.3130731312794053</v>
      </c>
      <c r="S17" s="336">
        <f t="shared" ref="S17" si="30">IF(R16&lt;R18,R16+2*3.1415926535-R18,R16-R18)</f>
        <v>2.0318541375300652</v>
      </c>
      <c r="T17" s="336">
        <f t="shared" ref="T17" si="31">DEGREES(S17)</f>
        <v>116.41666666666666</v>
      </c>
      <c r="U17" s="336"/>
    </row>
    <row r="18" spans="1:21" ht="16.5" thickBot="1">
      <c r="A18" s="360"/>
      <c r="B18" s="371"/>
      <c r="C18" s="15" t="s">
        <v>9</v>
      </c>
      <c r="D18" s="16">
        <v>124</v>
      </c>
      <c r="E18" s="17">
        <v>25</v>
      </c>
      <c r="F18" s="353"/>
      <c r="G18" s="364"/>
      <c r="H18" s="353"/>
      <c r="I18" s="260"/>
      <c r="J18" s="263"/>
      <c r="K18" s="326"/>
      <c r="L18" s="326"/>
      <c r="M18" s="329"/>
      <c r="N18" s="303"/>
      <c r="P18" s="65">
        <f t="shared" si="1"/>
        <v>2.1642082724729685</v>
      </c>
      <c r="Q18" s="65">
        <f t="shared" si="2"/>
        <v>7.2722052166430398E-3</v>
      </c>
      <c r="R18" s="65">
        <f t="shared" si="3"/>
        <v>2.1714804776896117</v>
      </c>
      <c r="S18" s="336"/>
      <c r="T18" s="336"/>
      <c r="U18" s="336"/>
    </row>
    <row r="19" spans="1:21">
      <c r="A19" s="358">
        <v>4</v>
      </c>
      <c r="B19" s="361">
        <v>3</v>
      </c>
      <c r="C19" s="12" t="s">
        <v>8</v>
      </c>
      <c r="D19" s="13">
        <v>78</v>
      </c>
      <c r="E19" s="14">
        <v>37</v>
      </c>
      <c r="F19" s="352">
        <f t="shared" ref="F19" si="32">(E19-E20)/2</f>
        <v>0</v>
      </c>
      <c r="G19" s="363">
        <f t="shared" ref="G19" si="33">TRUNC(T19)</f>
        <v>88</v>
      </c>
      <c r="H19" s="352">
        <f t="shared" ref="H19" si="34">MOD(T19,IF(T19&lt;0,-1,1))*60</f>
        <v>15.499999382625447</v>
      </c>
      <c r="I19" s="258">
        <f t="shared" ref="I19" si="35">TRUNC(U19)</f>
        <v>88</v>
      </c>
      <c r="J19" s="261">
        <f>MOD(U19,IF(U19&lt;0,-1,1))*60</f>
        <v>15.249999691311018</v>
      </c>
      <c r="K19" s="348"/>
      <c r="L19" s="348"/>
      <c r="M19" s="356"/>
      <c r="N19" s="307"/>
      <c r="P19" s="65">
        <f t="shared" si="1"/>
        <v>1.3613568165555769</v>
      </c>
      <c r="Q19" s="65">
        <f t="shared" si="2"/>
        <v>1.0762863720631699E-2</v>
      </c>
      <c r="R19" s="65">
        <f t="shared" si="3"/>
        <v>1.3721196802762086</v>
      </c>
      <c r="S19" s="336">
        <f t="shared" ref="S19" si="36">IF(R19&lt;R21,R19+2*3.1415926535-R21,R19-R21)</f>
        <v>1.5403985088097416</v>
      </c>
      <c r="T19" s="336">
        <f t="shared" ref="T19" si="37">DEGREES(S19)</f>
        <v>88.258333323043757</v>
      </c>
      <c r="U19" s="336">
        <f t="shared" ref="U19" si="38">AVERAGE(T19,T21)</f>
        <v>88.25416666152185</v>
      </c>
    </row>
    <row r="20" spans="1:21" ht="16.5" thickBot="1">
      <c r="A20" s="359"/>
      <c r="B20" s="362"/>
      <c r="C20" s="7" t="s">
        <v>9</v>
      </c>
      <c r="D20" s="8">
        <v>258</v>
      </c>
      <c r="E20" s="9">
        <v>37</v>
      </c>
      <c r="F20" s="353"/>
      <c r="G20" s="364"/>
      <c r="H20" s="353"/>
      <c r="I20" s="259"/>
      <c r="J20" s="262"/>
      <c r="K20" s="349"/>
      <c r="L20" s="349"/>
      <c r="M20" s="357"/>
      <c r="N20" s="302"/>
      <c r="P20" s="65">
        <f t="shared" si="1"/>
        <v>4.5029494701453698</v>
      </c>
      <c r="Q20" s="65">
        <f t="shared" si="2"/>
        <v>1.0762863720631699E-2</v>
      </c>
      <c r="R20" s="65">
        <f t="shared" si="3"/>
        <v>4.5137123338660015</v>
      </c>
      <c r="S20" s="336"/>
      <c r="T20" s="336"/>
      <c r="U20" s="336"/>
    </row>
    <row r="21" spans="1:21">
      <c r="A21" s="359"/>
      <c r="B21" s="370">
        <v>5</v>
      </c>
      <c r="C21" s="7" t="s">
        <v>8</v>
      </c>
      <c r="D21" s="8">
        <v>350</v>
      </c>
      <c r="E21" s="9">
        <v>21.5</v>
      </c>
      <c r="F21" s="352">
        <f t="shared" ref="F21" si="39">(E21-E22)/2</f>
        <v>-0.25</v>
      </c>
      <c r="G21" s="363">
        <f t="shared" ref="G21" si="40">TRUNC(T21)</f>
        <v>88</v>
      </c>
      <c r="H21" s="352">
        <f t="shared" ref="H21" si="41">MOD(T21,IF(T21&lt;0,-1,1))*60</f>
        <v>14.999999999997442</v>
      </c>
      <c r="I21" s="259"/>
      <c r="J21" s="262"/>
      <c r="K21" s="324">
        <v>39.92</v>
      </c>
      <c r="L21" s="324">
        <v>39.96</v>
      </c>
      <c r="M21" s="321">
        <f>AVERAGE(K21,L21)</f>
        <v>39.94</v>
      </c>
      <c r="N21" s="301">
        <f>'Ведомость D_d'!I12</f>
        <v>998.50000000002126</v>
      </c>
      <c r="P21" s="65">
        <f t="shared" si="1"/>
        <v>6.1086523819801535</v>
      </c>
      <c r="Q21" s="65">
        <f t="shared" si="2"/>
        <v>6.254096486313014E-3</v>
      </c>
      <c r="R21" s="65">
        <f t="shared" si="3"/>
        <v>6.1149064784664668</v>
      </c>
      <c r="S21" s="336">
        <f t="shared" ref="S21" si="42">IF(R20&lt;R22,R20+2*3.1415926535-R22,R20-R22)</f>
        <v>1.540253064884995</v>
      </c>
      <c r="T21" s="336">
        <f t="shared" ref="T21" si="43">DEGREES(S21)</f>
        <v>88.249999999999957</v>
      </c>
      <c r="U21" s="336"/>
    </row>
    <row r="22" spans="1:21" ht="16.5" thickBot="1">
      <c r="A22" s="360"/>
      <c r="B22" s="371"/>
      <c r="C22" s="15" t="s">
        <v>9</v>
      </c>
      <c r="D22" s="16">
        <v>170</v>
      </c>
      <c r="E22" s="17">
        <v>22</v>
      </c>
      <c r="F22" s="353"/>
      <c r="G22" s="364"/>
      <c r="H22" s="353"/>
      <c r="I22" s="260"/>
      <c r="J22" s="263"/>
      <c r="K22" s="326"/>
      <c r="L22" s="326"/>
      <c r="M22" s="323"/>
      <c r="N22" s="303"/>
      <c r="P22" s="65">
        <f t="shared" si="1"/>
        <v>2.9670597283903604</v>
      </c>
      <c r="Q22" s="65">
        <f t="shared" si="2"/>
        <v>6.3995405906458747E-3</v>
      </c>
      <c r="R22" s="65">
        <f t="shared" si="3"/>
        <v>2.9734592689810064</v>
      </c>
      <c r="S22" s="336"/>
      <c r="T22" s="336"/>
      <c r="U22" s="336"/>
    </row>
    <row r="23" spans="1:21">
      <c r="A23" s="358">
        <v>5</v>
      </c>
      <c r="B23" s="361">
        <v>4</v>
      </c>
      <c r="C23" s="12" t="s">
        <v>8</v>
      </c>
      <c r="D23" s="13">
        <v>128</v>
      </c>
      <c r="E23" s="14">
        <v>40</v>
      </c>
      <c r="F23" s="352">
        <f t="shared" ref="F23" si="44">(E23-E24)/2</f>
        <v>0</v>
      </c>
      <c r="G23" s="363">
        <f t="shared" ref="G23" si="45">TRUNC(T23)</f>
        <v>131</v>
      </c>
      <c r="H23" s="352">
        <f t="shared" ref="H23" si="46">MOD(T23,IF(T23&lt;0,-1,1))*60</f>
        <v>38.999999382627948</v>
      </c>
      <c r="I23" s="258">
        <f t="shared" ref="I23" si="47">TRUNC(U23)</f>
        <v>131</v>
      </c>
      <c r="J23" s="261">
        <f t="shared" ref="J23" si="48">MOD(U23,IF(U23&lt;0,-1,1))*60</f>
        <v>38.999999691314997</v>
      </c>
      <c r="K23" s="348"/>
      <c r="L23" s="348"/>
      <c r="M23" s="350"/>
      <c r="N23" s="307"/>
      <c r="P23" s="65">
        <f t="shared" si="1"/>
        <v>2.2340214425527418</v>
      </c>
      <c r="Q23" s="65">
        <f t="shared" si="2"/>
        <v>1.1635528346628864E-2</v>
      </c>
      <c r="R23" s="65">
        <f t="shared" si="3"/>
        <v>2.2456569708993706</v>
      </c>
      <c r="S23" s="336">
        <f t="shared" ref="S23" si="49">IF(R23&lt;R25,R23+2*3.1415926535-R25,R23-R25)</f>
        <v>2.2977259600709488</v>
      </c>
      <c r="T23" s="336">
        <f t="shared" ref="T23" si="50">DEGREES(S23)</f>
        <v>131.64999998971047</v>
      </c>
      <c r="U23" s="336">
        <f t="shared" ref="U23" si="51">AVERAGE(T23,T25)</f>
        <v>131.64999999485525</v>
      </c>
    </row>
    <row r="24" spans="1:21" ht="16.5" thickBot="1">
      <c r="A24" s="359"/>
      <c r="B24" s="362"/>
      <c r="C24" s="7" t="s">
        <v>9</v>
      </c>
      <c r="D24" s="8">
        <v>308</v>
      </c>
      <c r="E24" s="9">
        <v>40</v>
      </c>
      <c r="F24" s="353"/>
      <c r="G24" s="364"/>
      <c r="H24" s="353"/>
      <c r="I24" s="259"/>
      <c r="J24" s="262"/>
      <c r="K24" s="349"/>
      <c r="L24" s="349"/>
      <c r="M24" s="351"/>
      <c r="N24" s="302"/>
      <c r="P24" s="65">
        <f t="shared" si="1"/>
        <v>5.3756140961425354</v>
      </c>
      <c r="Q24" s="65">
        <f t="shared" si="2"/>
        <v>1.1635528346628864E-2</v>
      </c>
      <c r="R24" s="65">
        <f t="shared" si="3"/>
        <v>5.3872496244891641</v>
      </c>
      <c r="S24" s="336"/>
      <c r="T24" s="336"/>
      <c r="U24" s="336"/>
    </row>
    <row r="25" spans="1:21">
      <c r="A25" s="359"/>
      <c r="B25" s="370">
        <v>1</v>
      </c>
      <c r="C25" s="7" t="s">
        <v>8</v>
      </c>
      <c r="D25" s="8">
        <v>357</v>
      </c>
      <c r="E25" s="9">
        <v>1</v>
      </c>
      <c r="F25" s="352">
        <f t="shared" ref="F25" si="52">(E25-E26)/2</f>
        <v>0</v>
      </c>
      <c r="G25" s="363">
        <f t="shared" ref="G25" si="53">TRUNC(T25)</f>
        <v>131</v>
      </c>
      <c r="H25" s="352">
        <f t="shared" ref="H25" si="54">MOD(T25,IF(T25&lt;0,-1,1))*60</f>
        <v>39.000000000000341</v>
      </c>
      <c r="I25" s="259"/>
      <c r="J25" s="262"/>
      <c r="K25" s="324">
        <v>58.18</v>
      </c>
      <c r="L25" s="324">
        <v>58.2</v>
      </c>
      <c r="M25" s="325">
        <f>AVERAGE(K25,L25)</f>
        <v>58.19</v>
      </c>
      <c r="N25" s="301">
        <f>'Ведомость D_d'!I14</f>
        <v>2909.4999999995453</v>
      </c>
      <c r="P25" s="65">
        <f t="shared" si="1"/>
        <v>6.2308254296197561</v>
      </c>
      <c r="Q25" s="65">
        <f t="shared" si="2"/>
        <v>2.9088820866572158E-4</v>
      </c>
      <c r="R25" s="65">
        <f t="shared" si="3"/>
        <v>6.2311163178284215</v>
      </c>
      <c r="S25" s="336">
        <f t="shared" ref="S25" si="55">IF(R24&lt;R26,R24+2*3.1415926535-R26,R24-R26)</f>
        <v>2.2977259602505349</v>
      </c>
      <c r="T25" s="336">
        <f t="shared" ref="T25" si="56">DEGREES(S25)</f>
        <v>131.65</v>
      </c>
      <c r="U25" s="336"/>
    </row>
    <row r="26" spans="1:21" ht="16.5" thickBot="1">
      <c r="A26" s="360"/>
      <c r="B26" s="371"/>
      <c r="C26" s="15" t="s">
        <v>9</v>
      </c>
      <c r="D26" s="16">
        <v>177</v>
      </c>
      <c r="E26" s="17">
        <v>1</v>
      </c>
      <c r="F26" s="353"/>
      <c r="G26" s="364"/>
      <c r="H26" s="353"/>
      <c r="I26" s="260"/>
      <c r="J26" s="263"/>
      <c r="K26" s="266"/>
      <c r="L26" s="266"/>
      <c r="M26" s="267"/>
      <c r="N26" s="303"/>
      <c r="P26" s="65">
        <f t="shared" si="1"/>
        <v>3.0892327760299634</v>
      </c>
      <c r="Q26" s="65">
        <f t="shared" si="2"/>
        <v>2.9088820866572158E-4</v>
      </c>
      <c r="R26" s="65">
        <f t="shared" si="3"/>
        <v>3.0895236642386292</v>
      </c>
      <c r="S26" s="336"/>
      <c r="T26" s="336"/>
      <c r="U26" s="336"/>
    </row>
    <row r="27" spans="1:21">
      <c r="A27" s="358"/>
      <c r="B27" s="361"/>
      <c r="C27" s="18"/>
      <c r="D27" s="13"/>
      <c r="E27" s="14"/>
      <c r="F27" s="352"/>
      <c r="G27" s="363"/>
      <c r="H27" s="352"/>
      <c r="I27" s="352"/>
      <c r="J27" s="376"/>
      <c r="K27" s="352"/>
      <c r="L27" s="352"/>
      <c r="M27" s="354"/>
      <c r="N27" s="343"/>
      <c r="S27" s="335"/>
      <c r="T27" s="335"/>
      <c r="U27" s="335"/>
    </row>
    <row r="28" spans="1:21">
      <c r="A28" s="359"/>
      <c r="B28" s="362"/>
      <c r="C28" s="10"/>
      <c r="D28" s="8"/>
      <c r="E28" s="9"/>
      <c r="F28" s="353"/>
      <c r="G28" s="364"/>
      <c r="H28" s="353"/>
      <c r="I28" s="375"/>
      <c r="J28" s="377"/>
      <c r="K28" s="353"/>
      <c r="L28" s="353"/>
      <c r="M28" s="355"/>
      <c r="N28" s="344"/>
      <c r="S28" s="335"/>
      <c r="T28" s="335"/>
      <c r="U28" s="335"/>
    </row>
    <row r="29" spans="1:21">
      <c r="A29" s="359"/>
      <c r="B29" s="370"/>
      <c r="C29" s="7"/>
      <c r="D29" s="8"/>
      <c r="E29" s="9"/>
      <c r="F29" s="337"/>
      <c r="G29" s="337"/>
      <c r="H29" s="337"/>
      <c r="I29" s="375"/>
      <c r="J29" s="377"/>
      <c r="K29" s="337"/>
      <c r="L29" s="337"/>
      <c r="M29" s="339"/>
      <c r="N29" s="344"/>
    </row>
    <row r="30" spans="1:21" ht="16.5" thickBot="1">
      <c r="A30" s="360"/>
      <c r="B30" s="371"/>
      <c r="C30" s="15"/>
      <c r="D30" s="16"/>
      <c r="E30" s="17"/>
      <c r="F30" s="338"/>
      <c r="G30" s="338"/>
      <c r="H30" s="338"/>
      <c r="I30" s="338"/>
      <c r="J30" s="378"/>
      <c r="K30" s="338"/>
      <c r="L30" s="338"/>
      <c r="M30" s="340"/>
      <c r="N30" s="345"/>
    </row>
  </sheetData>
  <mergeCells count="119">
    <mergeCell ref="I1:J1"/>
    <mergeCell ref="K1:L1"/>
    <mergeCell ref="M1:N1"/>
    <mergeCell ref="I27:I30"/>
    <mergeCell ref="J27:J30"/>
    <mergeCell ref="B29:B30"/>
    <mergeCell ref="F29:F30"/>
    <mergeCell ref="G29:G30"/>
    <mergeCell ref="H29:H30"/>
    <mergeCell ref="B21:B22"/>
    <mergeCell ref="F21:F22"/>
    <mergeCell ref="G21:G22"/>
    <mergeCell ref="H21:H22"/>
    <mergeCell ref="B13:B14"/>
    <mergeCell ref="F13:F14"/>
    <mergeCell ref="G13:G14"/>
    <mergeCell ref="H13:H14"/>
    <mergeCell ref="F9:F10"/>
    <mergeCell ref="G9:G10"/>
    <mergeCell ref="H9:H10"/>
    <mergeCell ref="I4:J4"/>
    <mergeCell ref="B4:B5"/>
    <mergeCell ref="D4:E4"/>
    <mergeCell ref="G4:H4"/>
    <mergeCell ref="A27:A30"/>
    <mergeCell ref="B27:B28"/>
    <mergeCell ref="F27:F28"/>
    <mergeCell ref="G27:G28"/>
    <mergeCell ref="H27:H28"/>
    <mergeCell ref="B25:B26"/>
    <mergeCell ref="F25:F26"/>
    <mergeCell ref="G25:G26"/>
    <mergeCell ref="H25:H26"/>
    <mergeCell ref="A23:A26"/>
    <mergeCell ref="B23:B24"/>
    <mergeCell ref="F23:F24"/>
    <mergeCell ref="G23:G24"/>
    <mergeCell ref="H23:H24"/>
    <mergeCell ref="A19:A22"/>
    <mergeCell ref="B19:B20"/>
    <mergeCell ref="F19:F20"/>
    <mergeCell ref="G19:G20"/>
    <mergeCell ref="H19:H20"/>
    <mergeCell ref="B17:B18"/>
    <mergeCell ref="F17:F18"/>
    <mergeCell ref="G17:G18"/>
    <mergeCell ref="H17:H18"/>
    <mergeCell ref="A15:A18"/>
    <mergeCell ref="B15:B16"/>
    <mergeCell ref="F15:F16"/>
    <mergeCell ref="G15:G16"/>
    <mergeCell ref="H15:H16"/>
    <mergeCell ref="A11:A14"/>
    <mergeCell ref="B11:B12"/>
    <mergeCell ref="F11:F12"/>
    <mergeCell ref="G11:G12"/>
    <mergeCell ref="H11:H12"/>
    <mergeCell ref="E1:F1"/>
    <mergeCell ref="G1:H1"/>
    <mergeCell ref="L19:L20"/>
    <mergeCell ref="M19:M20"/>
    <mergeCell ref="K15:K16"/>
    <mergeCell ref="L7:L8"/>
    <mergeCell ref="M7:M8"/>
    <mergeCell ref="K11:K12"/>
    <mergeCell ref="L11:L12"/>
    <mergeCell ref="M11:M12"/>
    <mergeCell ref="K7:K8"/>
    <mergeCell ref="A7:A10"/>
    <mergeCell ref="B7:B8"/>
    <mergeCell ref="F7:F8"/>
    <mergeCell ref="G7:G8"/>
    <mergeCell ref="H7:H8"/>
    <mergeCell ref="B9:B10"/>
    <mergeCell ref="B1:D1"/>
    <mergeCell ref="A4:A5"/>
    <mergeCell ref="S17:S18"/>
    <mergeCell ref="S19:S20"/>
    <mergeCell ref="S21:S22"/>
    <mergeCell ref="S23:S24"/>
    <mergeCell ref="K29:K30"/>
    <mergeCell ref="L29:L30"/>
    <mergeCell ref="M29:M30"/>
    <mergeCell ref="K4:M4"/>
    <mergeCell ref="N27:N30"/>
    <mergeCell ref="N4:N5"/>
    <mergeCell ref="K23:K24"/>
    <mergeCell ref="L23:L24"/>
    <mergeCell ref="M23:M24"/>
    <mergeCell ref="K27:K28"/>
    <mergeCell ref="L27:L28"/>
    <mergeCell ref="M27:M28"/>
    <mergeCell ref="L15:L16"/>
    <mergeCell ref="M15:M16"/>
    <mergeCell ref="K19:K20"/>
    <mergeCell ref="U27:U28"/>
    <mergeCell ref="U7:U10"/>
    <mergeCell ref="U11:U14"/>
    <mergeCell ref="U15:U18"/>
    <mergeCell ref="U19:U22"/>
    <mergeCell ref="U23:U26"/>
    <mergeCell ref="S25:S26"/>
    <mergeCell ref="S27:S28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S7:S8"/>
    <mergeCell ref="S9:S10"/>
    <mergeCell ref="S11:S12"/>
    <mergeCell ref="S13:S14"/>
    <mergeCell ref="S15:S16"/>
  </mergeCells>
  <pageMargins left="0.7" right="0.7" top="0.75" bottom="0.75" header="0.3" footer="0.3"/>
  <pageSetup paperSize="9" orientation="landscape" horizontalDpi="1200" verticalDpi="1200" r:id="rId1"/>
  <headerFooter>
    <oddHeader>&amp;C&amp;"Times New Roman,обычный"&amp;18Журнал измерения горизонтальных углов</oddHeader>
  </headerFooter>
  <ignoredErrors>
    <ignoredError sqref="S9 S13 S17 S21 S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115" zoomScaleNormal="115" workbookViewId="0">
      <selection sqref="A1:M1"/>
    </sheetView>
  </sheetViews>
  <sheetFormatPr defaultRowHeight="15.75"/>
  <cols>
    <col min="1" max="1" width="6.42578125" style="1" customWidth="1"/>
    <col min="2" max="2" width="11.140625" style="1" bestFit="1" customWidth="1"/>
    <col min="3" max="3" width="9.140625" style="1"/>
    <col min="4" max="5" width="12.7109375" style="1" customWidth="1"/>
    <col min="6" max="12" width="11.140625" style="1" customWidth="1"/>
  </cols>
  <sheetData>
    <row r="1" spans="1:13">
      <c r="A1" s="372"/>
      <c r="B1" s="372"/>
      <c r="C1" s="372"/>
      <c r="D1" s="365"/>
      <c r="E1" s="365"/>
      <c r="F1" s="365"/>
      <c r="G1" s="365"/>
      <c r="H1" s="365"/>
      <c r="I1" s="365"/>
      <c r="J1" s="365"/>
      <c r="K1" s="365"/>
      <c r="L1" s="335"/>
      <c r="M1" s="335"/>
    </row>
    <row r="2" spans="1:13">
      <c r="C2" s="3"/>
      <c r="D2" s="24"/>
      <c r="E2" s="2"/>
      <c r="F2" s="2"/>
      <c r="G2" s="2"/>
      <c r="H2" s="24"/>
      <c r="I2" s="2"/>
      <c r="J2" s="2"/>
      <c r="K2" s="2"/>
      <c r="L2" s="2"/>
    </row>
    <row r="3" spans="1:13" ht="16.5" thickBot="1">
      <c r="C3" s="3"/>
      <c r="D3" s="25"/>
      <c r="L3" s="26"/>
    </row>
    <row r="4" spans="1:13" ht="15.75" customHeight="1">
      <c r="A4" s="373" t="s">
        <v>0</v>
      </c>
      <c r="B4" s="380" t="s">
        <v>1</v>
      </c>
      <c r="C4" s="19" t="s">
        <v>2</v>
      </c>
      <c r="D4" s="379" t="s">
        <v>13</v>
      </c>
      <c r="E4" s="382"/>
      <c r="F4" s="20" t="s">
        <v>10</v>
      </c>
      <c r="G4" s="379" t="s">
        <v>11</v>
      </c>
      <c r="H4" s="382"/>
      <c r="I4" s="379" t="s">
        <v>11</v>
      </c>
      <c r="J4" s="382"/>
      <c r="K4" s="379" t="s">
        <v>11</v>
      </c>
      <c r="L4" s="383"/>
      <c r="M4" s="386" t="s">
        <v>124</v>
      </c>
    </row>
    <row r="5" spans="1:13">
      <c r="A5" s="374"/>
      <c r="B5" s="381"/>
      <c r="C5" s="5"/>
      <c r="D5" s="7" t="s">
        <v>6</v>
      </c>
      <c r="E5" s="7" t="s">
        <v>7</v>
      </c>
      <c r="F5" s="7"/>
      <c r="G5" s="7" t="s">
        <v>6</v>
      </c>
      <c r="H5" s="7" t="s">
        <v>7</v>
      </c>
      <c r="I5" s="7" t="s">
        <v>6</v>
      </c>
      <c r="J5" s="7" t="s">
        <v>7</v>
      </c>
      <c r="K5" s="7" t="s">
        <v>6</v>
      </c>
      <c r="L5" s="21" t="s">
        <v>7</v>
      </c>
      <c r="M5" s="386"/>
    </row>
    <row r="6" spans="1:13" ht="16.5" thickBot="1">
      <c r="A6" s="22">
        <v>1</v>
      </c>
      <c r="B6" s="15">
        <v>2</v>
      </c>
      <c r="C6" s="15">
        <v>3</v>
      </c>
      <c r="D6" s="15">
        <v>4</v>
      </c>
      <c r="E6" s="15">
        <v>5</v>
      </c>
      <c r="F6" s="15">
        <v>6</v>
      </c>
      <c r="G6" s="15">
        <v>7</v>
      </c>
      <c r="H6" s="15">
        <v>8</v>
      </c>
      <c r="I6" s="15">
        <v>9</v>
      </c>
      <c r="J6" s="15">
        <v>10</v>
      </c>
      <c r="K6" s="15">
        <v>11</v>
      </c>
      <c r="L6" s="23">
        <v>12</v>
      </c>
      <c r="M6" s="386"/>
    </row>
    <row r="7" spans="1:13" ht="16.5" thickBot="1">
      <c r="A7" s="358">
        <v>1</v>
      </c>
      <c r="B7" s="361">
        <v>5</v>
      </c>
      <c r="C7" s="12" t="s">
        <v>8</v>
      </c>
      <c r="D7" s="58">
        <v>0</v>
      </c>
      <c r="E7" s="61">
        <v>53</v>
      </c>
      <c r="F7" s="352">
        <f>(AVERAGE(E7,E8))</f>
        <v>0</v>
      </c>
      <c r="G7" s="258">
        <f>D7</f>
        <v>0</v>
      </c>
      <c r="H7" s="257">
        <f>E7-F7</f>
        <v>53</v>
      </c>
      <c r="I7" s="352"/>
      <c r="J7" s="352"/>
      <c r="K7" s="352"/>
      <c r="L7" s="376"/>
      <c r="M7">
        <f>G7+H7/60</f>
        <v>0.8833333333333333</v>
      </c>
    </row>
    <row r="8" spans="1:13" ht="16.5" thickBot="1">
      <c r="A8" s="359"/>
      <c r="B8" s="362"/>
      <c r="C8" s="7" t="s">
        <v>9</v>
      </c>
      <c r="D8" s="59">
        <v>0</v>
      </c>
      <c r="E8" s="61">
        <v>-53</v>
      </c>
      <c r="F8" s="353"/>
      <c r="G8" s="265"/>
      <c r="H8" s="264"/>
      <c r="I8" s="353"/>
      <c r="J8" s="353"/>
      <c r="K8" s="353"/>
      <c r="L8" s="384"/>
    </row>
    <row r="9" spans="1:13">
      <c r="A9" s="359"/>
      <c r="B9" s="370">
        <v>2</v>
      </c>
      <c r="C9" s="7" t="s">
        <v>8</v>
      </c>
      <c r="D9" s="59">
        <v>3</v>
      </c>
      <c r="E9" s="9">
        <v>9</v>
      </c>
      <c r="F9" s="352">
        <f t="shared" ref="F9" si="0">(AVERAGE(E9,E10))</f>
        <v>0.5</v>
      </c>
      <c r="G9" s="258">
        <f t="shared" ref="G9" si="1">D9</f>
        <v>3</v>
      </c>
      <c r="H9" s="257">
        <f t="shared" ref="H9" si="2">E9-F9</f>
        <v>8.5</v>
      </c>
      <c r="I9" s="337"/>
      <c r="J9" s="337"/>
      <c r="K9" s="337"/>
      <c r="L9" s="385"/>
      <c r="M9">
        <f t="shared" ref="M9:M27" si="3">G9+H9/60</f>
        <v>3.1416666666666666</v>
      </c>
    </row>
    <row r="10" spans="1:13" ht="16.5" thickBot="1">
      <c r="A10" s="360"/>
      <c r="B10" s="371"/>
      <c r="C10" s="15" t="s">
        <v>9</v>
      </c>
      <c r="D10" s="60">
        <v>-3</v>
      </c>
      <c r="E10" s="17">
        <v>-8</v>
      </c>
      <c r="F10" s="353"/>
      <c r="G10" s="265"/>
      <c r="H10" s="264"/>
      <c r="I10" s="338"/>
      <c r="J10" s="338"/>
      <c r="K10" s="338"/>
      <c r="L10" s="378"/>
    </row>
    <row r="11" spans="1:13" ht="16.5" thickBot="1">
      <c r="A11" s="358">
        <v>2</v>
      </c>
      <c r="B11" s="361">
        <v>1</v>
      </c>
      <c r="C11" s="12" t="s">
        <v>8</v>
      </c>
      <c r="D11" s="60">
        <v>-3</v>
      </c>
      <c r="E11" s="14">
        <v>-7</v>
      </c>
      <c r="F11" s="352">
        <f t="shared" ref="F11" si="4">(AVERAGE(E11,E12))</f>
        <v>0.5</v>
      </c>
      <c r="G11" s="258">
        <f t="shared" ref="G11" si="5">D11</f>
        <v>-3</v>
      </c>
      <c r="H11" s="257">
        <f t="shared" ref="H11" si="6">E11-F11</f>
        <v>-7.5</v>
      </c>
      <c r="I11" s="352"/>
      <c r="J11" s="352"/>
      <c r="K11" s="352"/>
      <c r="L11" s="376"/>
      <c r="M11">
        <f t="shared" si="3"/>
        <v>-3.125</v>
      </c>
    </row>
    <row r="12" spans="1:13" ht="16.5" thickBot="1">
      <c r="A12" s="359"/>
      <c r="B12" s="362"/>
      <c r="C12" s="7" t="s">
        <v>9</v>
      </c>
      <c r="D12" s="59">
        <v>3</v>
      </c>
      <c r="E12" s="9">
        <v>8</v>
      </c>
      <c r="F12" s="353"/>
      <c r="G12" s="265"/>
      <c r="H12" s="264"/>
      <c r="I12" s="353"/>
      <c r="J12" s="353"/>
      <c r="K12" s="353"/>
      <c r="L12" s="384"/>
    </row>
    <row r="13" spans="1:13">
      <c r="A13" s="359"/>
      <c r="B13" s="370">
        <v>3</v>
      </c>
      <c r="C13" s="7" t="s">
        <v>8</v>
      </c>
      <c r="D13" s="59">
        <v>5</v>
      </c>
      <c r="E13" s="9">
        <v>9</v>
      </c>
      <c r="F13" s="352">
        <f t="shared" ref="F13" si="7">(AVERAGE(E13,E14))</f>
        <v>0.5</v>
      </c>
      <c r="G13" s="258">
        <f t="shared" ref="G13" si="8">D13</f>
        <v>5</v>
      </c>
      <c r="H13" s="257">
        <f t="shared" ref="H13" si="9">E13-F13</f>
        <v>8.5</v>
      </c>
      <c r="I13" s="337"/>
      <c r="J13" s="337"/>
      <c r="K13" s="337"/>
      <c r="L13" s="385"/>
      <c r="M13">
        <f t="shared" si="3"/>
        <v>5.1416666666666666</v>
      </c>
    </row>
    <row r="14" spans="1:13" ht="16.5" thickBot="1">
      <c r="A14" s="360"/>
      <c r="B14" s="371"/>
      <c r="C14" s="15" t="s">
        <v>9</v>
      </c>
      <c r="D14" s="60">
        <v>-5</v>
      </c>
      <c r="E14" s="17">
        <v>-8</v>
      </c>
      <c r="F14" s="353"/>
      <c r="G14" s="265"/>
      <c r="H14" s="264"/>
      <c r="I14" s="338"/>
      <c r="J14" s="338"/>
      <c r="K14" s="338"/>
      <c r="L14" s="378"/>
    </row>
    <row r="15" spans="1:13" ht="16.5" thickBot="1">
      <c r="A15" s="358">
        <v>3</v>
      </c>
      <c r="B15" s="361">
        <v>2</v>
      </c>
      <c r="C15" s="12" t="s">
        <v>8</v>
      </c>
      <c r="D15" s="60">
        <v>-5</v>
      </c>
      <c r="E15" s="14">
        <v>-8</v>
      </c>
      <c r="F15" s="352">
        <f t="shared" ref="F15" si="10">(AVERAGE(E15,E16))</f>
        <v>0</v>
      </c>
      <c r="G15" s="258">
        <f t="shared" ref="G15" si="11">D15</f>
        <v>-5</v>
      </c>
      <c r="H15" s="257">
        <f t="shared" ref="H15" si="12">E15-F15</f>
        <v>-8</v>
      </c>
      <c r="I15" s="352"/>
      <c r="J15" s="352"/>
      <c r="K15" s="352"/>
      <c r="L15" s="376"/>
      <c r="M15">
        <f t="shared" si="3"/>
        <v>-5.1333333333333337</v>
      </c>
    </row>
    <row r="16" spans="1:13" ht="16.5" thickBot="1">
      <c r="A16" s="359"/>
      <c r="B16" s="362"/>
      <c r="C16" s="7" t="s">
        <v>9</v>
      </c>
      <c r="D16" s="59">
        <v>5</v>
      </c>
      <c r="E16" s="9">
        <v>8</v>
      </c>
      <c r="F16" s="353"/>
      <c r="G16" s="265"/>
      <c r="H16" s="264"/>
      <c r="I16" s="353"/>
      <c r="J16" s="353"/>
      <c r="K16" s="353"/>
      <c r="L16" s="384"/>
    </row>
    <row r="17" spans="1:13">
      <c r="A17" s="359"/>
      <c r="B17" s="370">
        <v>4</v>
      </c>
      <c r="C17" s="7" t="s">
        <v>8</v>
      </c>
      <c r="D17" s="59">
        <v>-2</v>
      </c>
      <c r="E17" s="9">
        <v>-7</v>
      </c>
      <c r="F17" s="352">
        <f t="shared" ref="F17" si="13">(AVERAGE(E17,E18))</f>
        <v>0</v>
      </c>
      <c r="G17" s="258">
        <f t="shared" ref="G17" si="14">D17</f>
        <v>-2</v>
      </c>
      <c r="H17" s="257">
        <f t="shared" ref="H17" si="15">E17-F17</f>
        <v>-7</v>
      </c>
      <c r="I17" s="337"/>
      <c r="J17" s="337"/>
      <c r="K17" s="337"/>
      <c r="L17" s="385"/>
      <c r="M17">
        <f t="shared" si="3"/>
        <v>-2.1166666666666667</v>
      </c>
    </row>
    <row r="18" spans="1:13" ht="16.5" thickBot="1">
      <c r="A18" s="360"/>
      <c r="B18" s="371"/>
      <c r="C18" s="15" t="s">
        <v>9</v>
      </c>
      <c r="D18" s="60">
        <v>2</v>
      </c>
      <c r="E18" s="17">
        <v>7</v>
      </c>
      <c r="F18" s="353"/>
      <c r="G18" s="265"/>
      <c r="H18" s="264"/>
      <c r="I18" s="338"/>
      <c r="J18" s="338"/>
      <c r="K18" s="338"/>
      <c r="L18" s="378"/>
    </row>
    <row r="19" spans="1:13" ht="16.5" thickBot="1">
      <c r="A19" s="358">
        <v>4</v>
      </c>
      <c r="B19" s="361">
        <v>3</v>
      </c>
      <c r="C19" s="12" t="s">
        <v>8</v>
      </c>
      <c r="D19" s="60">
        <v>2</v>
      </c>
      <c r="E19" s="14">
        <v>8</v>
      </c>
      <c r="F19" s="352">
        <f t="shared" ref="F19" si="16">(AVERAGE(E19,E20))</f>
        <v>0</v>
      </c>
      <c r="G19" s="258">
        <f t="shared" ref="G19" si="17">D19</f>
        <v>2</v>
      </c>
      <c r="H19" s="257">
        <f t="shared" ref="H19" si="18">E19-F19</f>
        <v>8</v>
      </c>
      <c r="I19" s="352"/>
      <c r="J19" s="352"/>
      <c r="K19" s="352"/>
      <c r="L19" s="376"/>
      <c r="M19">
        <f t="shared" si="3"/>
        <v>2.1333333333333333</v>
      </c>
    </row>
    <row r="20" spans="1:13" ht="16.5" thickBot="1">
      <c r="A20" s="359"/>
      <c r="B20" s="362"/>
      <c r="C20" s="7" t="s">
        <v>9</v>
      </c>
      <c r="D20" s="59">
        <v>-2</v>
      </c>
      <c r="E20" s="9">
        <v>-8</v>
      </c>
      <c r="F20" s="353"/>
      <c r="G20" s="265"/>
      <c r="H20" s="264"/>
      <c r="I20" s="353"/>
      <c r="J20" s="353"/>
      <c r="K20" s="353"/>
      <c r="L20" s="384"/>
    </row>
    <row r="21" spans="1:13">
      <c r="A21" s="359"/>
      <c r="B21" s="370">
        <v>5</v>
      </c>
      <c r="C21" s="7" t="s">
        <v>8</v>
      </c>
      <c r="D21" s="59">
        <v>-6</v>
      </c>
      <c r="E21" s="9">
        <v>-13</v>
      </c>
      <c r="F21" s="352">
        <f t="shared" ref="F21" si="19">(AVERAGE(E21,E22))</f>
        <v>0.5</v>
      </c>
      <c r="G21" s="258">
        <f t="shared" ref="G21" si="20">D21</f>
        <v>-6</v>
      </c>
      <c r="H21" s="257">
        <f t="shared" ref="H21" si="21">E21-F21</f>
        <v>-13.5</v>
      </c>
      <c r="I21" s="337"/>
      <c r="J21" s="337"/>
      <c r="K21" s="337"/>
      <c r="L21" s="385"/>
      <c r="M21">
        <f t="shared" si="3"/>
        <v>-6.2249999999999996</v>
      </c>
    </row>
    <row r="22" spans="1:13" ht="16.5" thickBot="1">
      <c r="A22" s="360"/>
      <c r="B22" s="371"/>
      <c r="C22" s="15" t="s">
        <v>9</v>
      </c>
      <c r="D22" s="60">
        <v>6</v>
      </c>
      <c r="E22" s="17">
        <v>14</v>
      </c>
      <c r="F22" s="353"/>
      <c r="G22" s="265"/>
      <c r="H22" s="264"/>
      <c r="I22" s="338"/>
      <c r="J22" s="338"/>
      <c r="K22" s="338"/>
      <c r="L22" s="378"/>
    </row>
    <row r="23" spans="1:13" ht="16.5" thickBot="1">
      <c r="A23" s="358">
        <v>5</v>
      </c>
      <c r="B23" s="361">
        <v>4</v>
      </c>
      <c r="C23" s="12" t="s">
        <v>8</v>
      </c>
      <c r="D23" s="60">
        <v>6</v>
      </c>
      <c r="E23" s="14">
        <v>15</v>
      </c>
      <c r="F23" s="352">
        <f t="shared" ref="F23" si="22">(AVERAGE(E23,E24))</f>
        <v>0.5</v>
      </c>
      <c r="G23" s="258">
        <f t="shared" ref="G23" si="23">D23</f>
        <v>6</v>
      </c>
      <c r="H23" s="257">
        <f t="shared" ref="H23" si="24">E23-F23</f>
        <v>14.5</v>
      </c>
      <c r="I23" s="352"/>
      <c r="J23" s="352"/>
      <c r="K23" s="352"/>
      <c r="L23" s="376"/>
      <c r="M23">
        <f t="shared" si="3"/>
        <v>6.2416666666666663</v>
      </c>
    </row>
    <row r="24" spans="1:13" ht="16.5" thickBot="1">
      <c r="A24" s="359"/>
      <c r="B24" s="362"/>
      <c r="C24" s="7" t="s">
        <v>9</v>
      </c>
      <c r="D24" s="59">
        <v>-6</v>
      </c>
      <c r="E24" s="9">
        <v>-14</v>
      </c>
      <c r="F24" s="353"/>
      <c r="G24" s="265"/>
      <c r="H24" s="264"/>
      <c r="I24" s="353"/>
      <c r="J24" s="353"/>
      <c r="K24" s="353"/>
      <c r="L24" s="384"/>
    </row>
    <row r="25" spans="1:13">
      <c r="A25" s="359"/>
      <c r="B25" s="370">
        <v>1</v>
      </c>
      <c r="C25" s="7" t="s">
        <v>8</v>
      </c>
      <c r="D25" s="59">
        <v>0</v>
      </c>
      <c r="E25" s="9">
        <v>7</v>
      </c>
      <c r="F25" s="352">
        <f t="shared" ref="F25" si="25">(AVERAGE(E25,E26))</f>
        <v>0</v>
      </c>
      <c r="G25" s="258">
        <f t="shared" ref="G25" si="26">D25</f>
        <v>0</v>
      </c>
      <c r="H25" s="257">
        <f t="shared" ref="H25" si="27">E25-F25</f>
        <v>7</v>
      </c>
      <c r="I25" s="337"/>
      <c r="J25" s="337"/>
      <c r="K25" s="337"/>
      <c r="L25" s="385"/>
      <c r="M25">
        <f t="shared" si="3"/>
        <v>0.11666666666666667</v>
      </c>
    </row>
    <row r="26" spans="1:13" ht="16.5" thickBot="1">
      <c r="A26" s="360"/>
      <c r="B26" s="371"/>
      <c r="C26" s="15" t="s">
        <v>9</v>
      </c>
      <c r="D26" s="60">
        <v>0</v>
      </c>
      <c r="E26" s="17">
        <v>-7</v>
      </c>
      <c r="F26" s="353"/>
      <c r="G26" s="265"/>
      <c r="H26" s="264"/>
      <c r="I26" s="338"/>
      <c r="J26" s="338"/>
      <c r="K26" s="338"/>
      <c r="L26" s="378"/>
    </row>
    <row r="27" spans="1:13" ht="16.5" thickBot="1">
      <c r="A27" s="358">
        <v>1</v>
      </c>
      <c r="B27" s="361">
        <v>5</v>
      </c>
      <c r="C27" s="18" t="s">
        <v>8</v>
      </c>
      <c r="D27" s="58">
        <v>0</v>
      </c>
      <c r="E27" s="61">
        <v>-7</v>
      </c>
      <c r="F27" s="352">
        <f t="shared" ref="F27" si="28">(AVERAGE(E27,E28))</f>
        <v>0</v>
      </c>
      <c r="G27" s="258">
        <f t="shared" ref="G27" si="29">D27</f>
        <v>0</v>
      </c>
      <c r="H27" s="257">
        <f t="shared" ref="H27" si="30">E27-F27</f>
        <v>-7</v>
      </c>
      <c r="I27" s="352"/>
      <c r="J27" s="352"/>
      <c r="K27" s="352"/>
      <c r="L27" s="376"/>
      <c r="M27">
        <f t="shared" si="3"/>
        <v>-0.11666666666666667</v>
      </c>
    </row>
    <row r="28" spans="1:13">
      <c r="A28" s="359"/>
      <c r="B28" s="362"/>
      <c r="C28" s="10" t="s">
        <v>9</v>
      </c>
      <c r="D28" s="59">
        <v>0</v>
      </c>
      <c r="E28" s="61">
        <v>7</v>
      </c>
      <c r="F28" s="353"/>
      <c r="G28" s="265"/>
      <c r="H28" s="264"/>
      <c r="I28" s="353"/>
      <c r="J28" s="353"/>
      <c r="K28" s="353"/>
      <c r="L28" s="384"/>
    </row>
    <row r="29" spans="1:13">
      <c r="A29" s="359"/>
      <c r="B29" s="370"/>
      <c r="C29" s="7" t="s">
        <v>8</v>
      </c>
      <c r="D29" s="8"/>
      <c r="E29" s="9"/>
      <c r="F29" s="337"/>
      <c r="G29" s="337"/>
      <c r="H29" s="337"/>
      <c r="I29" s="337"/>
      <c r="J29" s="337"/>
      <c r="K29" s="337"/>
      <c r="L29" s="385"/>
    </row>
    <row r="30" spans="1:13" ht="16.5" thickBot="1">
      <c r="A30" s="360"/>
      <c r="B30" s="371"/>
      <c r="C30" s="15" t="s">
        <v>9</v>
      </c>
      <c r="D30" s="16"/>
      <c r="E30" s="17"/>
      <c r="F30" s="338"/>
      <c r="G30" s="338"/>
      <c r="H30" s="338"/>
      <c r="I30" s="338"/>
      <c r="J30" s="338"/>
      <c r="K30" s="338"/>
      <c r="L30" s="378"/>
    </row>
  </sheetData>
  <mergeCells count="93">
    <mergeCell ref="M4:M6"/>
    <mergeCell ref="A27:A30"/>
    <mergeCell ref="D1:E1"/>
    <mergeCell ref="F1:G1"/>
    <mergeCell ref="H1:I1"/>
    <mergeCell ref="J1:K1"/>
    <mergeCell ref="L1:M1"/>
    <mergeCell ref="I27:I28"/>
    <mergeCell ref="J27:J28"/>
    <mergeCell ref="K27:K28"/>
    <mergeCell ref="L27:L28"/>
    <mergeCell ref="B29:B30"/>
    <mergeCell ref="F29:F30"/>
    <mergeCell ref="G29:G30"/>
    <mergeCell ref="H29:H30"/>
    <mergeCell ref="I29:I30"/>
    <mergeCell ref="J29:J30"/>
    <mergeCell ref="B27:B28"/>
    <mergeCell ref="F27:F28"/>
    <mergeCell ref="K29:K30"/>
    <mergeCell ref="L29:L30"/>
    <mergeCell ref="L23:L24"/>
    <mergeCell ref="B25:B26"/>
    <mergeCell ref="F25:F26"/>
    <mergeCell ref="I25:I26"/>
    <mergeCell ref="J25:J26"/>
    <mergeCell ref="K25:K26"/>
    <mergeCell ref="L25:L26"/>
    <mergeCell ref="A19:A22"/>
    <mergeCell ref="K23:K24"/>
    <mergeCell ref="I19:I20"/>
    <mergeCell ref="J19:J20"/>
    <mergeCell ref="K19:K20"/>
    <mergeCell ref="A23:A26"/>
    <mergeCell ref="B23:B24"/>
    <mergeCell ref="F23:F24"/>
    <mergeCell ref="I23:I24"/>
    <mergeCell ref="J23:J24"/>
    <mergeCell ref="L19:L20"/>
    <mergeCell ref="B21:B22"/>
    <mergeCell ref="F21:F22"/>
    <mergeCell ref="I21:I22"/>
    <mergeCell ref="J21:J22"/>
    <mergeCell ref="B19:B20"/>
    <mergeCell ref="F19:F20"/>
    <mergeCell ref="K21:K22"/>
    <mergeCell ref="L21:L22"/>
    <mergeCell ref="L15:L16"/>
    <mergeCell ref="B17:B18"/>
    <mergeCell ref="F17:F18"/>
    <mergeCell ref="I17:I18"/>
    <mergeCell ref="J17:J18"/>
    <mergeCell ref="K17:K18"/>
    <mergeCell ref="L17:L18"/>
    <mergeCell ref="A11:A14"/>
    <mergeCell ref="K15:K16"/>
    <mergeCell ref="I11:I12"/>
    <mergeCell ref="J11:J12"/>
    <mergeCell ref="K11:K12"/>
    <mergeCell ref="A15:A18"/>
    <mergeCell ref="B15:B16"/>
    <mergeCell ref="F15:F16"/>
    <mergeCell ref="I15:I16"/>
    <mergeCell ref="J15:J16"/>
    <mergeCell ref="L11:L12"/>
    <mergeCell ref="B13:B14"/>
    <mergeCell ref="F13:F14"/>
    <mergeCell ref="I13:I14"/>
    <mergeCell ref="J13:J14"/>
    <mergeCell ref="B11:B12"/>
    <mergeCell ref="F11:F12"/>
    <mergeCell ref="K13:K14"/>
    <mergeCell ref="L13:L14"/>
    <mergeCell ref="A1:C1"/>
    <mergeCell ref="A4:A5"/>
    <mergeCell ref="B4:B5"/>
    <mergeCell ref="D4:E4"/>
    <mergeCell ref="G4:H4"/>
    <mergeCell ref="I4:J4"/>
    <mergeCell ref="K4:L4"/>
    <mergeCell ref="A7:A10"/>
    <mergeCell ref="B7:B8"/>
    <mergeCell ref="F7:F8"/>
    <mergeCell ref="I7:I8"/>
    <mergeCell ref="J7:J8"/>
    <mergeCell ref="K7:K8"/>
    <mergeCell ref="L7:L8"/>
    <mergeCell ref="B9:B10"/>
    <mergeCell ref="F9:F10"/>
    <mergeCell ref="I9:I10"/>
    <mergeCell ref="J9:J10"/>
    <mergeCell ref="K9:K10"/>
    <mergeCell ref="L9:L10"/>
  </mergeCells>
  <pageMargins left="0.7" right="0.7" top="0.75" bottom="0.75" header="0.3" footer="0.3"/>
  <pageSetup paperSize="9" orientation="landscape" horizontalDpi="1200" verticalDpi="1200" r:id="rId1"/>
  <headerFooter>
    <oddHeader>&amp;C&amp;"Times New Roman,обычный"&amp;18Журнал измерения вертикальных углов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L10" sqref="L10"/>
    </sheetView>
  </sheetViews>
  <sheetFormatPr defaultRowHeight="15"/>
  <cols>
    <col min="4" max="4" width="9.140625" hidden="1" customWidth="1"/>
    <col min="7" max="7" width="0" hidden="1" customWidth="1"/>
    <col min="9" max="9" width="9.42578125" bestFit="1" customWidth="1"/>
    <col min="13" max="14" width="0" hidden="1" customWidth="1"/>
    <col min="19" max="19" width="10.42578125" bestFit="1" customWidth="1"/>
  </cols>
  <sheetData>
    <row r="1" spans="1:26">
      <c r="A1" s="32"/>
      <c r="B1" s="33" t="s">
        <v>21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2"/>
      <c r="R1" s="32"/>
      <c r="S1" s="32"/>
      <c r="T1" s="32"/>
      <c r="U1" s="32"/>
    </row>
    <row r="2" spans="1:26" ht="15.75" thickBot="1">
      <c r="A2" s="32"/>
      <c r="B2" s="32"/>
      <c r="C2" s="34"/>
      <c r="D2" s="34"/>
      <c r="E2" s="34"/>
      <c r="F2" s="34"/>
      <c r="G2" s="34"/>
      <c r="H2" s="34"/>
      <c r="I2" s="34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6">
      <c r="A3" s="32"/>
      <c r="B3" s="387" t="s">
        <v>22</v>
      </c>
      <c r="C3" s="387" t="s">
        <v>23</v>
      </c>
      <c r="D3" s="391" t="s">
        <v>24</v>
      </c>
      <c r="E3" s="392"/>
      <c r="F3" s="392"/>
      <c r="G3" s="393"/>
      <c r="H3" s="387" t="s">
        <v>25</v>
      </c>
      <c r="I3" s="387" t="s">
        <v>26</v>
      </c>
      <c r="J3" s="387" t="s">
        <v>27</v>
      </c>
      <c r="K3" s="399" t="s">
        <v>28</v>
      </c>
      <c r="L3" s="400"/>
      <c r="M3" s="403" t="s">
        <v>29</v>
      </c>
      <c r="N3" s="403" t="s">
        <v>30</v>
      </c>
      <c r="O3" s="406" t="s">
        <v>31</v>
      </c>
      <c r="P3" s="387" t="s">
        <v>32</v>
      </c>
      <c r="Q3" s="387" t="s">
        <v>22</v>
      </c>
      <c r="R3" s="32"/>
      <c r="W3" s="423" t="s">
        <v>125</v>
      </c>
      <c r="X3" s="423"/>
      <c r="Y3" s="423"/>
      <c r="Z3" s="423"/>
    </row>
    <row r="4" spans="1:26" ht="15" customHeight="1">
      <c r="A4" s="32"/>
      <c r="B4" s="388"/>
      <c r="C4" s="388"/>
      <c r="D4" s="394" t="s">
        <v>33</v>
      </c>
      <c r="E4" s="396" t="s">
        <v>34</v>
      </c>
      <c r="F4" s="397"/>
      <c r="G4" s="398"/>
      <c r="H4" s="388"/>
      <c r="I4" s="388"/>
      <c r="J4" s="388"/>
      <c r="K4" s="401"/>
      <c r="L4" s="402"/>
      <c r="M4" s="404"/>
      <c r="N4" s="404"/>
      <c r="O4" s="407"/>
      <c r="P4" s="388"/>
      <c r="Q4" s="388"/>
      <c r="R4" s="32"/>
      <c r="W4" s="423" t="s">
        <v>126</v>
      </c>
      <c r="X4" s="423" t="s">
        <v>58</v>
      </c>
      <c r="Y4" s="422" t="s">
        <v>129</v>
      </c>
      <c r="Z4" s="422" t="s">
        <v>130</v>
      </c>
    </row>
    <row r="5" spans="1:26" ht="15.75" thickBot="1">
      <c r="A5" s="32"/>
      <c r="B5" s="389"/>
      <c r="C5" s="390"/>
      <c r="D5" s="395"/>
      <c r="E5" s="35" t="s">
        <v>35</v>
      </c>
      <c r="F5" s="35" t="s">
        <v>36</v>
      </c>
      <c r="G5" s="36" t="s">
        <v>37</v>
      </c>
      <c r="H5" s="389"/>
      <c r="I5" s="389"/>
      <c r="J5" s="389"/>
      <c r="K5" s="37" t="s">
        <v>6</v>
      </c>
      <c r="L5" s="38" t="s">
        <v>7</v>
      </c>
      <c r="M5" s="405"/>
      <c r="N5" s="405"/>
      <c r="O5" s="408"/>
      <c r="P5" s="390"/>
      <c r="Q5" s="389"/>
      <c r="R5" s="32"/>
      <c r="W5" s="423"/>
      <c r="X5" s="423"/>
      <c r="Y5" s="422"/>
      <c r="Z5" s="422"/>
    </row>
    <row r="6" spans="1:26" ht="15.75">
      <c r="A6" s="32"/>
      <c r="B6" s="39" t="s">
        <v>38</v>
      </c>
      <c r="C6" s="40">
        <f>'Журнал гор. углов'!K9</f>
        <v>51.21</v>
      </c>
      <c r="D6" s="41" t="s">
        <v>39</v>
      </c>
      <c r="E6" s="285">
        <f>'Журнал верт. углов'!G9</f>
        <v>3</v>
      </c>
      <c r="F6" s="42">
        <f>'Журнал верт. углов'!H9</f>
        <v>8.5</v>
      </c>
      <c r="G6" s="43"/>
      <c r="H6" s="318">
        <f>ABS(C6-C7)</f>
        <v>3.9999999999999147E-2</v>
      </c>
      <c r="I6" s="305">
        <f>(J6/H6)</f>
        <v>1280.7500000000275</v>
      </c>
      <c r="J6" s="316">
        <f>AVERAGEA(C6,C7)</f>
        <v>51.230000000000004</v>
      </c>
      <c r="K6" s="293">
        <f>TRUNC(Y6,0)</f>
        <v>3</v>
      </c>
      <c r="L6" s="295">
        <f>MOD(Y6,IF(Y6&lt;0,-1,1))*60</f>
        <v>7.9999999999999982</v>
      </c>
      <c r="M6" s="409"/>
      <c r="N6" s="409"/>
      <c r="O6" s="409">
        <f>COS(Z6)</f>
        <v>0.99850503956566161</v>
      </c>
      <c r="P6" s="268">
        <f>J6*O6</f>
        <v>51.153413176948845</v>
      </c>
      <c r="Q6" s="39" t="s">
        <v>38</v>
      </c>
      <c r="R6" s="32"/>
      <c r="V6" s="245" t="s">
        <v>127</v>
      </c>
      <c r="W6">
        <f>E6+F6/60</f>
        <v>3.1416666666666666</v>
      </c>
      <c r="X6">
        <f>RADIANS(W6)</f>
        <v>5.4832427333488518E-2</v>
      </c>
      <c r="Y6" s="31">
        <f>IF(W6&gt;W7,AVERAGE(ABS(W6),ABS(W7)),AVERAGE(ABS(W6),ABS(W7))*(-1))</f>
        <v>3.1333333333333333</v>
      </c>
      <c r="Z6">
        <f>RADIANS(Y6)</f>
        <v>5.4686983229155661E-2</v>
      </c>
    </row>
    <row r="7" spans="1:26" ht="16.5" thickBot="1">
      <c r="A7" s="32"/>
      <c r="B7" s="44" t="s">
        <v>40</v>
      </c>
      <c r="C7" s="45">
        <f>'Журнал гор. углов'!L9</f>
        <v>51.25</v>
      </c>
      <c r="D7" s="46" t="s">
        <v>41</v>
      </c>
      <c r="E7" s="286">
        <f>'Журнал верт. углов'!G11</f>
        <v>-3</v>
      </c>
      <c r="F7" s="47">
        <f>'Журнал верт. углов'!H11</f>
        <v>-7.5</v>
      </c>
      <c r="G7" s="48"/>
      <c r="H7" s="319"/>
      <c r="I7" s="306"/>
      <c r="J7" s="317"/>
      <c r="K7" s="294"/>
      <c r="L7" s="296"/>
      <c r="M7" s="410"/>
      <c r="N7" s="410"/>
      <c r="O7" s="410"/>
      <c r="P7" s="269"/>
      <c r="Q7" s="44" t="s">
        <v>40</v>
      </c>
      <c r="R7" s="32"/>
      <c r="V7" s="245" t="s">
        <v>128</v>
      </c>
      <c r="W7">
        <f t="shared" ref="W7:W15" si="0">E7+F7/60</f>
        <v>-3.125</v>
      </c>
      <c r="X7">
        <f t="shared" ref="X7:X15" si="1">RADIANS(W7)</f>
        <v>-5.4541539124822798E-2</v>
      </c>
      <c r="Y7" s="31"/>
    </row>
    <row r="8" spans="1:26" ht="15.75">
      <c r="A8" s="32"/>
      <c r="B8" s="39" t="s">
        <v>42</v>
      </c>
      <c r="C8" s="40">
        <v>40.43</v>
      </c>
      <c r="D8" s="41" t="s">
        <v>39</v>
      </c>
      <c r="E8" s="285">
        <f>'Журнал верт. углов'!G13</f>
        <v>5</v>
      </c>
      <c r="F8" s="42">
        <f>'Журнал верт. углов'!H13</f>
        <v>8.5</v>
      </c>
      <c r="G8" s="48"/>
      <c r="H8" s="318">
        <f t="shared" ref="H8" si="2">ABS(C8-C9)</f>
        <v>9.9999999999980105E-3</v>
      </c>
      <c r="I8" s="305">
        <f t="shared" ref="I8" si="3">(J8/H8)</f>
        <v>4042.500000000804</v>
      </c>
      <c r="J8" s="316">
        <f>AVERAGEA(C8,C9)</f>
        <v>40.424999999999997</v>
      </c>
      <c r="K8" s="293">
        <f t="shared" ref="K8" si="4">TRUNC(Y8,0)</f>
        <v>5</v>
      </c>
      <c r="L8" s="295">
        <f t="shared" ref="L8" si="5">MOD(Y8,IF(Y8&lt;0,-1,1))*60</f>
        <v>8.2500000000000107</v>
      </c>
      <c r="M8" s="411"/>
      <c r="N8" s="411"/>
      <c r="O8" s="409">
        <f t="shared" ref="O8" si="6">COS(Z8)</f>
        <v>0.99598267089750248</v>
      </c>
      <c r="P8" s="268">
        <f t="shared" ref="P8" si="7">J8*O8</f>
        <v>40.262599471031535</v>
      </c>
      <c r="Q8" s="39" t="s">
        <v>42</v>
      </c>
      <c r="R8" s="32"/>
      <c r="V8" s="245" t="s">
        <v>127</v>
      </c>
      <c r="W8">
        <f t="shared" si="0"/>
        <v>5.1416666666666666</v>
      </c>
      <c r="X8">
        <f t="shared" si="1"/>
        <v>8.9739012373375115E-2</v>
      </c>
      <c r="Y8" s="31">
        <f t="shared" ref="Y8" si="8">IF(W8&gt;W9,AVERAGE(ABS(W8),ABS(W9)),AVERAGE(ABS(W8),ABS(W9))*(-1))</f>
        <v>5.1375000000000002</v>
      </c>
      <c r="Z8">
        <f t="shared" ref="Z8:Z14" si="9">RADIANS(Y8)</f>
        <v>8.966629032120868E-2</v>
      </c>
    </row>
    <row r="9" spans="1:26" ht="16.5" thickBot="1">
      <c r="A9" s="32"/>
      <c r="B9" s="44" t="s">
        <v>43</v>
      </c>
      <c r="C9" s="45">
        <v>40.42</v>
      </c>
      <c r="D9" s="46" t="s">
        <v>41</v>
      </c>
      <c r="E9" s="286">
        <f>'Журнал верт. углов'!G15</f>
        <v>-5</v>
      </c>
      <c r="F9" s="47">
        <f>'Журнал верт. углов'!H15</f>
        <v>-8</v>
      </c>
      <c r="G9" s="48"/>
      <c r="H9" s="319"/>
      <c r="I9" s="306"/>
      <c r="J9" s="317"/>
      <c r="K9" s="294"/>
      <c r="L9" s="296"/>
      <c r="M9" s="410"/>
      <c r="N9" s="410"/>
      <c r="O9" s="410"/>
      <c r="P9" s="269"/>
      <c r="Q9" s="44" t="s">
        <v>43</v>
      </c>
      <c r="R9" s="32"/>
      <c r="V9" s="245" t="s">
        <v>128</v>
      </c>
      <c r="W9">
        <f t="shared" si="0"/>
        <v>-5.1333333333333337</v>
      </c>
      <c r="X9">
        <f t="shared" si="1"/>
        <v>-8.9593568269042259E-2</v>
      </c>
      <c r="Y9" s="31"/>
    </row>
    <row r="10" spans="1:26" ht="15.75">
      <c r="A10" s="32"/>
      <c r="B10" s="39" t="s">
        <v>44</v>
      </c>
      <c r="C10" s="40">
        <v>58.57</v>
      </c>
      <c r="D10" s="41" t="s">
        <v>41</v>
      </c>
      <c r="E10" s="285">
        <f>'Журнал верт. углов'!G17</f>
        <v>-2</v>
      </c>
      <c r="F10" s="42">
        <f>'Журнал верт. углов'!H17</f>
        <v>-7</v>
      </c>
      <c r="G10" s="48"/>
      <c r="H10" s="318">
        <f t="shared" ref="H10" si="10">ABS(C10-C11)</f>
        <v>3.0000000000001137E-2</v>
      </c>
      <c r="I10" s="305">
        <f t="shared" ref="I10" si="11">(J10/H10)</f>
        <v>1952.8333333332594</v>
      </c>
      <c r="J10" s="316">
        <f t="shared" ref="J10" si="12">AVERAGEA(C10,C11)</f>
        <v>58.585000000000001</v>
      </c>
      <c r="K10" s="293">
        <f t="shared" ref="K10" si="13">TRUNC(Y10,0)</f>
        <v>-2</v>
      </c>
      <c r="L10" s="295">
        <f t="shared" ref="L10" si="14">MOD(Y10,IF(Y10&lt;0,-1,1))*60</f>
        <v>-7.5</v>
      </c>
      <c r="M10" s="411"/>
      <c r="N10" s="411"/>
      <c r="O10" s="409">
        <f t="shared" ref="O10" si="15">COS(Z10)</f>
        <v>0.99931230981597685</v>
      </c>
      <c r="P10" s="268">
        <f t="shared" ref="P10" si="16">J10*O10</f>
        <v>58.544711670569008</v>
      </c>
      <c r="Q10" s="39" t="s">
        <v>44</v>
      </c>
      <c r="R10" s="32"/>
      <c r="V10" s="245" t="s">
        <v>127</v>
      </c>
      <c r="W10">
        <f t="shared" si="0"/>
        <v>-2.1166666666666667</v>
      </c>
      <c r="X10">
        <f t="shared" si="1"/>
        <v>-3.6942802500546643E-2</v>
      </c>
      <c r="Y10" s="31">
        <f t="shared" ref="Y10" si="17">IF(W10&gt;W11,AVERAGE(ABS(W10),ABS(W11)),AVERAGE(ABS(W10),ABS(W11))*(-1))</f>
        <v>-2.125</v>
      </c>
      <c r="Z10">
        <f t="shared" si="9"/>
        <v>-3.7088246604879506E-2</v>
      </c>
    </row>
    <row r="11" spans="1:26" ht="16.5" thickBot="1">
      <c r="A11" s="32"/>
      <c r="B11" s="44" t="s">
        <v>45</v>
      </c>
      <c r="C11" s="45">
        <v>58.6</v>
      </c>
      <c r="D11" s="46" t="s">
        <v>39</v>
      </c>
      <c r="E11" s="286">
        <f>'Журнал верт. углов'!G19</f>
        <v>2</v>
      </c>
      <c r="F11" s="47">
        <f>'Журнал верт. углов'!H19</f>
        <v>8</v>
      </c>
      <c r="G11" s="48"/>
      <c r="H11" s="319"/>
      <c r="I11" s="306"/>
      <c r="J11" s="317"/>
      <c r="K11" s="294"/>
      <c r="L11" s="296"/>
      <c r="M11" s="410"/>
      <c r="N11" s="410"/>
      <c r="O11" s="410"/>
      <c r="P11" s="269"/>
      <c r="Q11" s="44" t="s">
        <v>45</v>
      </c>
      <c r="R11" s="32"/>
      <c r="V11" s="245" t="s">
        <v>128</v>
      </c>
      <c r="W11">
        <f t="shared" si="0"/>
        <v>2.1333333333333333</v>
      </c>
      <c r="X11">
        <f t="shared" si="1"/>
        <v>3.7233690709212362E-2</v>
      </c>
      <c r="Y11" s="31"/>
    </row>
    <row r="12" spans="1:26" ht="15.75">
      <c r="A12" s="32"/>
      <c r="B12" s="49" t="s">
        <v>46</v>
      </c>
      <c r="C12" s="40">
        <v>39.92</v>
      </c>
      <c r="D12" s="41" t="s">
        <v>41</v>
      </c>
      <c r="E12" s="285">
        <f>'Журнал верт. углов'!G21</f>
        <v>-6</v>
      </c>
      <c r="F12" s="42">
        <f>'Журнал верт. углов'!H21</f>
        <v>-13.5</v>
      </c>
      <c r="G12" s="48"/>
      <c r="H12" s="318">
        <f t="shared" ref="H12" si="18">ABS(C12-C13)</f>
        <v>3.9999999999999147E-2</v>
      </c>
      <c r="I12" s="305">
        <f t="shared" ref="I12" si="19">(J12/H12)</f>
        <v>998.50000000002126</v>
      </c>
      <c r="J12" s="316">
        <f t="shared" ref="J12" si="20">AVERAGEA(C12,C13)</f>
        <v>39.94</v>
      </c>
      <c r="K12" s="293">
        <f t="shared" ref="K12" si="21">TRUNC(Y12,0)</f>
        <v>-6</v>
      </c>
      <c r="L12" s="295">
        <f t="shared" ref="L12" si="22">MOD(Y12,IF(Y12&lt;0,-1,1))*60</f>
        <v>-13.99999999999995</v>
      </c>
      <c r="M12" s="411"/>
      <c r="N12" s="411"/>
      <c r="O12" s="409">
        <f t="shared" ref="O12" si="23">COS(Z12)</f>
        <v>0.99408796425557133</v>
      </c>
      <c r="P12" s="268">
        <f t="shared" ref="P12" si="24">J12*O12</f>
        <v>39.703873292367518</v>
      </c>
      <c r="Q12" s="49" t="s">
        <v>46</v>
      </c>
      <c r="R12" s="32"/>
      <c r="V12" s="245" t="s">
        <v>127</v>
      </c>
      <c r="W12">
        <f t="shared" si="0"/>
        <v>-6.2249999999999996</v>
      </c>
      <c r="X12">
        <f t="shared" si="1"/>
        <v>-0.10864674593664701</v>
      </c>
      <c r="Y12" s="31">
        <f t="shared" ref="Y12" si="25">IF(W12&gt;W13,AVERAGE(ABS(W12),ABS(W13)),AVERAGE(ABS(W12),ABS(W13))*(-1))</f>
        <v>-6.2333333333333325</v>
      </c>
      <c r="Z12">
        <f t="shared" si="9"/>
        <v>-0.10879219004097986</v>
      </c>
    </row>
    <row r="13" spans="1:26" ht="16.5" thickBot="1">
      <c r="A13" s="32"/>
      <c r="B13" s="44" t="s">
        <v>47</v>
      </c>
      <c r="C13" s="45">
        <v>39.96</v>
      </c>
      <c r="D13" s="46" t="s">
        <v>39</v>
      </c>
      <c r="E13" s="286">
        <f>'Журнал верт. углов'!G23</f>
        <v>6</v>
      </c>
      <c r="F13" s="47">
        <f>'Журнал верт. углов'!H23</f>
        <v>14.5</v>
      </c>
      <c r="G13" s="48"/>
      <c r="H13" s="319"/>
      <c r="I13" s="306"/>
      <c r="J13" s="317"/>
      <c r="K13" s="294"/>
      <c r="L13" s="296"/>
      <c r="M13" s="410"/>
      <c r="N13" s="410"/>
      <c r="O13" s="410"/>
      <c r="P13" s="269"/>
      <c r="Q13" s="44" t="s">
        <v>47</v>
      </c>
      <c r="R13" s="32"/>
      <c r="V13" s="245" t="s">
        <v>128</v>
      </c>
      <c r="W13">
        <f t="shared" si="0"/>
        <v>6.2416666666666663</v>
      </c>
      <c r="X13">
        <f t="shared" si="1"/>
        <v>0.10893763414531273</v>
      </c>
      <c r="Y13" s="31"/>
    </row>
    <row r="14" spans="1:26" ht="15.75">
      <c r="A14" s="50"/>
      <c r="B14" s="39" t="s">
        <v>48</v>
      </c>
      <c r="C14" s="40">
        <v>58.18</v>
      </c>
      <c r="D14" s="41" t="s">
        <v>39</v>
      </c>
      <c r="E14" s="285">
        <f>'Журнал верт. углов'!G25</f>
        <v>0</v>
      </c>
      <c r="F14" s="42">
        <f>'Журнал верт. углов'!H25</f>
        <v>7</v>
      </c>
      <c r="G14" s="48"/>
      <c r="H14" s="318">
        <f t="shared" ref="H14" si="26">ABS(C14-C15)</f>
        <v>2.0000000000003126E-2</v>
      </c>
      <c r="I14" s="305">
        <f t="shared" ref="I14" si="27">(J14/H14)</f>
        <v>2909.4999999995453</v>
      </c>
      <c r="J14" s="316">
        <f t="shared" ref="J14" si="28">AVERAGEA(C14,C15)</f>
        <v>58.19</v>
      </c>
      <c r="K14" s="293">
        <f t="shared" ref="K14" si="29">TRUNC(Y14,0)</f>
        <v>0</v>
      </c>
      <c r="L14" s="295">
        <f t="shared" ref="L14" si="30">MOD(Y14,IF(Y14&lt;0,-1,1))*60</f>
        <v>7</v>
      </c>
      <c r="M14" s="411"/>
      <c r="N14" s="411"/>
      <c r="O14" s="409">
        <f t="shared" ref="O14" si="31">COS(Z14)</f>
        <v>0.99999792690994271</v>
      </c>
      <c r="P14" s="268">
        <f t="shared" ref="P14" si="32">J14*O14</f>
        <v>58.189879366889564</v>
      </c>
      <c r="Q14" s="39" t="s">
        <v>48</v>
      </c>
      <c r="R14" s="50"/>
      <c r="V14" s="245" t="s">
        <v>127</v>
      </c>
      <c r="W14">
        <f t="shared" si="0"/>
        <v>0.11666666666666667</v>
      </c>
      <c r="X14">
        <f t="shared" si="1"/>
        <v>2.0362174606600512E-3</v>
      </c>
      <c r="Y14" s="31">
        <f t="shared" ref="Y14" si="33">IF(W14&gt;W15,AVERAGE(ABS(W14),ABS(W15)),AVERAGE(ABS(W14),ABS(W15))*(-1))</f>
        <v>0.11666666666666667</v>
      </c>
      <c r="Z14">
        <f t="shared" si="9"/>
        <v>2.0362174606600512E-3</v>
      </c>
    </row>
    <row r="15" spans="1:26" ht="16.5" thickBot="1">
      <c r="A15" s="50"/>
      <c r="B15" s="44" t="s">
        <v>49</v>
      </c>
      <c r="C15" s="45">
        <v>58.2</v>
      </c>
      <c r="D15" s="46" t="s">
        <v>41</v>
      </c>
      <c r="E15" s="286">
        <f>'Журнал верт. углов'!G27</f>
        <v>0</v>
      </c>
      <c r="F15" s="47">
        <f>'Журнал верт. углов'!H27</f>
        <v>-7</v>
      </c>
      <c r="G15" s="48"/>
      <c r="H15" s="304"/>
      <c r="I15" s="306"/>
      <c r="J15" s="298"/>
      <c r="K15" s="294"/>
      <c r="L15" s="296"/>
      <c r="M15" s="410"/>
      <c r="N15" s="410"/>
      <c r="O15" s="410"/>
      <c r="P15" s="269"/>
      <c r="Q15" s="44" t="s">
        <v>49</v>
      </c>
      <c r="R15" s="50"/>
      <c r="V15" s="245" t="s">
        <v>128</v>
      </c>
      <c r="W15">
        <f t="shared" si="0"/>
        <v>-0.11666666666666667</v>
      </c>
      <c r="X15">
        <f t="shared" si="1"/>
        <v>-2.0362174606600512E-3</v>
      </c>
      <c r="Y15" s="31"/>
    </row>
    <row r="16" spans="1:26" ht="15.75" thickBot="1">
      <c r="A16" s="32"/>
      <c r="B16" s="51"/>
      <c r="C16" s="52"/>
      <c r="D16" s="52"/>
      <c r="E16" s="52"/>
      <c r="F16" s="52"/>
      <c r="G16" s="52"/>
      <c r="H16" s="414"/>
      <c r="I16" s="416"/>
      <c r="J16" s="418"/>
      <c r="K16" s="53"/>
      <c r="L16" s="53"/>
      <c r="M16" s="420"/>
      <c r="N16" s="53"/>
      <c r="O16" s="420"/>
      <c r="P16" s="412"/>
      <c r="Q16" s="54"/>
      <c r="R16" s="32"/>
      <c r="S16" s="32"/>
      <c r="T16" s="32"/>
      <c r="U16" s="32"/>
    </row>
    <row r="17" spans="1:21" ht="15.75" thickBot="1">
      <c r="A17" s="32"/>
      <c r="B17" s="32"/>
      <c r="C17" s="55"/>
      <c r="D17" s="55"/>
      <c r="E17" s="55"/>
      <c r="F17" s="55"/>
      <c r="G17" s="55"/>
      <c r="H17" s="415"/>
      <c r="I17" s="417"/>
      <c r="J17" s="419"/>
      <c r="K17" s="56"/>
      <c r="L17" s="56"/>
      <c r="M17" s="421"/>
      <c r="N17" s="56"/>
      <c r="O17" s="421"/>
      <c r="P17" s="413"/>
      <c r="Q17" s="57"/>
      <c r="R17" s="32"/>
      <c r="S17" s="32"/>
      <c r="T17" s="32"/>
      <c r="U17" s="32"/>
    </row>
    <row r="18" spans="1:21">
      <c r="A18" s="32"/>
      <c r="B18" s="32"/>
      <c r="C18" s="34"/>
      <c r="D18" s="34"/>
      <c r="E18" s="34"/>
      <c r="F18" s="34"/>
      <c r="G18" s="34"/>
      <c r="H18" s="34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>
      <c r="A19" s="32"/>
      <c r="B19" s="32"/>
      <c r="C19" s="34"/>
      <c r="D19" s="34"/>
      <c r="E19" s="34"/>
      <c r="F19" s="34"/>
      <c r="G19" s="34"/>
      <c r="H19" s="34"/>
      <c r="I19" s="34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>
      <c r="A20" s="32"/>
      <c r="B20" s="32"/>
      <c r="C20" s="34"/>
      <c r="D20" s="34"/>
      <c r="E20" s="34"/>
      <c r="F20" s="34"/>
      <c r="G20" s="34"/>
      <c r="H20" s="34"/>
      <c r="I20" s="34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</row>
    <row r="21" spans="1:21">
      <c r="A21" s="32"/>
      <c r="B21" s="32"/>
      <c r="C21" s="34"/>
      <c r="D21" s="34"/>
      <c r="E21" s="34"/>
      <c r="F21" s="34"/>
      <c r="G21" s="34"/>
      <c r="H21" s="34"/>
      <c r="I21" s="34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1:21">
      <c r="A22" s="32"/>
      <c r="B22" s="32"/>
      <c r="C22" s="34"/>
      <c r="D22" s="34"/>
      <c r="E22" s="34"/>
      <c r="F22" s="34"/>
      <c r="G22" s="34"/>
      <c r="H22" s="34"/>
      <c r="I22" s="34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</row>
    <row r="23" spans="1:21">
      <c r="A23" s="32"/>
      <c r="B23" s="32"/>
      <c r="C23" s="34"/>
      <c r="D23" s="34"/>
      <c r="E23" s="34"/>
      <c r="F23" s="34"/>
      <c r="G23" s="34"/>
      <c r="H23" s="34"/>
      <c r="I23" s="34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</sheetData>
  <mergeCells count="40">
    <mergeCell ref="Z4:Z5"/>
    <mergeCell ref="W3:Z3"/>
    <mergeCell ref="W4:W5"/>
    <mergeCell ref="X4:X5"/>
    <mergeCell ref="Y4:Y5"/>
    <mergeCell ref="P16:P17"/>
    <mergeCell ref="N14:N15"/>
    <mergeCell ref="O14:O15"/>
    <mergeCell ref="H16:H17"/>
    <mergeCell ref="I16:I17"/>
    <mergeCell ref="J16:J17"/>
    <mergeCell ref="M16:M17"/>
    <mergeCell ref="O16:O17"/>
    <mergeCell ref="M14:M15"/>
    <mergeCell ref="M10:M11"/>
    <mergeCell ref="N10:N11"/>
    <mergeCell ref="O10:O11"/>
    <mergeCell ref="M12:M13"/>
    <mergeCell ref="N12:N13"/>
    <mergeCell ref="O12:O13"/>
    <mergeCell ref="M6:M7"/>
    <mergeCell ref="N6:N7"/>
    <mergeCell ref="O6:O7"/>
    <mergeCell ref="M8:M9"/>
    <mergeCell ref="N8:N9"/>
    <mergeCell ref="O8:O9"/>
    <mergeCell ref="Q3:Q5"/>
    <mergeCell ref="B3:B5"/>
    <mergeCell ref="C3:C5"/>
    <mergeCell ref="D3:G3"/>
    <mergeCell ref="H3:H5"/>
    <mergeCell ref="I3:I5"/>
    <mergeCell ref="J3:J5"/>
    <mergeCell ref="D4:D5"/>
    <mergeCell ref="E4:G4"/>
    <mergeCell ref="K3:L4"/>
    <mergeCell ref="M3:M5"/>
    <mergeCell ref="N3:N5"/>
    <mergeCell ref="O3:O5"/>
    <mergeCell ref="P3:P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115" zoomScaleNormal="115" workbookViewId="0">
      <selection activeCell="E27" sqref="A22:E27"/>
    </sheetView>
  </sheetViews>
  <sheetFormatPr defaultRowHeight="15"/>
  <cols>
    <col min="2" max="2" width="11.28515625" customWidth="1"/>
    <col min="3" max="3" width="0" hidden="1" customWidth="1"/>
    <col min="6" max="7" width="0" hidden="1" customWidth="1"/>
    <col min="10" max="10" width="15.7109375" customWidth="1"/>
    <col min="11" max="12" width="9.140625" hidden="1" customWidth="1"/>
    <col min="17" max="17" width="15.42578125" customWidth="1"/>
    <col min="18" max="18" width="9.5703125" customWidth="1"/>
  </cols>
  <sheetData>
    <row r="1" spans="1:20" ht="16.5" thickBot="1">
      <c r="A1" s="78" t="s">
        <v>61</v>
      </c>
      <c r="B1" s="79"/>
      <c r="C1" s="79"/>
      <c r="D1" s="79"/>
      <c r="E1" s="79"/>
      <c r="F1" s="80"/>
      <c r="G1" s="80"/>
      <c r="H1" s="79"/>
      <c r="I1" s="79"/>
      <c r="J1" s="79"/>
      <c r="K1" s="80"/>
      <c r="L1" s="80"/>
      <c r="M1" s="79"/>
      <c r="N1" s="79"/>
      <c r="O1" s="79"/>
      <c r="P1" s="79"/>
    </row>
    <row r="2" spans="1:20" ht="15.75" thickBot="1">
      <c r="A2" s="434" t="s">
        <v>62</v>
      </c>
      <c r="B2" s="434" t="s">
        <v>63</v>
      </c>
      <c r="C2" s="437" t="s">
        <v>64</v>
      </c>
      <c r="D2" s="438"/>
      <c r="E2" s="438"/>
      <c r="F2" s="438"/>
      <c r="G2" s="438"/>
      <c r="H2" s="438"/>
      <c r="I2" s="439"/>
      <c r="J2" s="434" t="s">
        <v>118</v>
      </c>
      <c r="K2" s="81"/>
      <c r="L2" s="81"/>
      <c r="M2" s="441" t="s">
        <v>65</v>
      </c>
      <c r="N2" s="442"/>
      <c r="O2" s="434" t="s">
        <v>66</v>
      </c>
      <c r="P2" s="477" t="s">
        <v>67</v>
      </c>
      <c r="Q2" s="475" t="s">
        <v>119</v>
      </c>
    </row>
    <row r="3" spans="1:20">
      <c r="A3" s="435"/>
      <c r="B3" s="435"/>
      <c r="C3" s="82"/>
      <c r="D3" s="424" t="s">
        <v>34</v>
      </c>
      <c r="E3" s="425"/>
      <c r="F3" s="83"/>
      <c r="G3" s="83"/>
      <c r="H3" s="426" t="s">
        <v>68</v>
      </c>
      <c r="I3" s="427"/>
      <c r="J3" s="435"/>
      <c r="K3" s="84"/>
      <c r="L3" s="84"/>
      <c r="M3" s="428" t="s">
        <v>69</v>
      </c>
      <c r="N3" s="430" t="s">
        <v>70</v>
      </c>
      <c r="O3" s="435"/>
      <c r="P3" s="478"/>
      <c r="Q3" s="476"/>
      <c r="R3" s="422" t="s">
        <v>52</v>
      </c>
      <c r="S3" s="474" t="s">
        <v>60</v>
      </c>
      <c r="T3" s="474"/>
    </row>
    <row r="4" spans="1:20" ht="15.75" thickBot="1">
      <c r="A4" s="436"/>
      <c r="B4" s="436"/>
      <c r="C4" s="85" t="s">
        <v>71</v>
      </c>
      <c r="D4" s="86" t="s">
        <v>35</v>
      </c>
      <c r="E4" s="87" t="s">
        <v>36</v>
      </c>
      <c r="F4" s="88"/>
      <c r="G4" s="88"/>
      <c r="H4" s="89" t="s">
        <v>35</v>
      </c>
      <c r="I4" s="90" t="s">
        <v>36</v>
      </c>
      <c r="J4" s="440"/>
      <c r="K4" s="91"/>
      <c r="L4" s="91"/>
      <c r="M4" s="429"/>
      <c r="N4" s="431"/>
      <c r="O4" s="436"/>
      <c r="P4" s="479"/>
      <c r="Q4" s="476"/>
      <c r="R4" s="422"/>
      <c r="S4" s="474"/>
      <c r="T4" s="474"/>
    </row>
    <row r="5" spans="1:20" ht="15.75" thickBot="1">
      <c r="A5" s="428">
        <v>1</v>
      </c>
      <c r="B5" s="92" t="s">
        <v>38</v>
      </c>
      <c r="C5" s="255" t="s">
        <v>39</v>
      </c>
      <c r="D5" s="287">
        <f>'Журнал верт. углов'!G9</f>
        <v>3</v>
      </c>
      <c r="E5" s="93">
        <f>'Журнал верт. углов'!H9</f>
        <v>8.5</v>
      </c>
      <c r="F5" s="94"/>
      <c r="G5" s="432"/>
      <c r="H5" s="292">
        <f>'Ведомость D_d'!K6</f>
        <v>3</v>
      </c>
      <c r="I5" s="290">
        <f>'Ведомость D_d'!L6</f>
        <v>7.9999999999999982</v>
      </c>
      <c r="J5" s="315">
        <f>'Ведомость D_d'!J6</f>
        <v>51.230000000000004</v>
      </c>
      <c r="K5" s="443"/>
      <c r="L5" s="95"/>
      <c r="M5" s="445">
        <f>J5*SIN(R5)</f>
        <v>2.8002179108698106</v>
      </c>
      <c r="N5" s="465">
        <f>SUM(M5+S5)</f>
        <v>2.794088435041576</v>
      </c>
      <c r="O5" s="455">
        <v>146.25</v>
      </c>
      <c r="P5" s="472">
        <f>A5</f>
        <v>1</v>
      </c>
      <c r="Q5" s="461">
        <f>J5*COS(R5)</f>
        <v>51.153413176948845</v>
      </c>
      <c r="R5" s="299">
        <f>RADIANS(H5+I5/60)</f>
        <v>5.4686983229155661E-2</v>
      </c>
      <c r="S5" s="471">
        <f>(($M$20*Q5)/$Q$15)*(-1)</f>
        <v>-6.1294758282344252E-3</v>
      </c>
      <c r="T5" s="336"/>
    </row>
    <row r="6" spans="1:20" ht="15.75" thickBot="1">
      <c r="A6" s="429"/>
      <c r="B6" s="96" t="s">
        <v>40</v>
      </c>
      <c r="C6" s="256" t="s">
        <v>41</v>
      </c>
      <c r="D6" s="288">
        <f>'Журнал верт. углов'!G11</f>
        <v>-3</v>
      </c>
      <c r="E6" s="97">
        <f>'Журнал верт. углов'!H11</f>
        <v>-7.5</v>
      </c>
      <c r="F6" s="98"/>
      <c r="G6" s="433"/>
      <c r="H6" s="289"/>
      <c r="I6" s="291"/>
      <c r="J6" s="315"/>
      <c r="K6" s="444"/>
      <c r="L6" s="99"/>
      <c r="M6" s="446"/>
      <c r="N6" s="466"/>
      <c r="O6" s="456"/>
      <c r="P6" s="473"/>
      <c r="Q6" s="462"/>
      <c r="R6" s="299"/>
      <c r="S6" s="471"/>
      <c r="T6" s="336"/>
    </row>
    <row r="7" spans="1:20" ht="15.75" thickBot="1">
      <c r="A7" s="428">
        <v>2</v>
      </c>
      <c r="B7" s="100" t="s">
        <v>42</v>
      </c>
      <c r="C7" s="255" t="s">
        <v>39</v>
      </c>
      <c r="D7" s="287">
        <f>'Журнал верт. углов'!G13</f>
        <v>5</v>
      </c>
      <c r="E7" s="93">
        <f>'Журнал верт. углов'!H13</f>
        <v>8.5</v>
      </c>
      <c r="F7" s="94"/>
      <c r="G7" s="432"/>
      <c r="H7" s="292">
        <f>'Ведомость D_d'!K8</f>
        <v>5</v>
      </c>
      <c r="I7" s="290">
        <f>'Ведомость D_d'!L8</f>
        <v>8.2500000000000107</v>
      </c>
      <c r="J7" s="315">
        <f>'Ведомость D_d'!J8</f>
        <v>40.424999999999997</v>
      </c>
      <c r="K7" s="443"/>
      <c r="L7" s="95"/>
      <c r="M7" s="445">
        <f t="shared" ref="M7" si="0">J7*SIN(R7)</f>
        <v>3.6199045340023659</v>
      </c>
      <c r="N7" s="465">
        <f t="shared" ref="N7" si="1">SUM(M7+S7)</f>
        <v>3.6150800537788101</v>
      </c>
      <c r="O7" s="451">
        <f>O5+N5</f>
        <v>149.04408843504157</v>
      </c>
      <c r="P7" s="472">
        <f t="shared" ref="P7" si="2">A7</f>
        <v>2</v>
      </c>
      <c r="Q7" s="461">
        <f t="shared" ref="Q7" si="3">J7*COS(R7)</f>
        <v>40.262599471031535</v>
      </c>
      <c r="R7" s="299">
        <f t="shared" ref="R7:R13" si="4">RADIANS(H7+I7/60)</f>
        <v>8.966629032120868E-2</v>
      </c>
      <c r="S7" s="471">
        <f t="shared" ref="S7" si="5">(($M$20*Q7)/$Q$15)*(-1)</f>
        <v>-4.8244802235558699E-3</v>
      </c>
      <c r="T7" s="336"/>
    </row>
    <row r="8" spans="1:20" ht="15.75" thickBot="1">
      <c r="A8" s="429"/>
      <c r="B8" s="96" t="s">
        <v>43</v>
      </c>
      <c r="C8" s="256" t="s">
        <v>41</v>
      </c>
      <c r="D8" s="288">
        <f>'Журнал верт. углов'!G15</f>
        <v>-5</v>
      </c>
      <c r="E8" s="97">
        <f>'Журнал верт. углов'!H15</f>
        <v>-8</v>
      </c>
      <c r="F8" s="98"/>
      <c r="G8" s="433"/>
      <c r="H8" s="289"/>
      <c r="I8" s="291"/>
      <c r="J8" s="315"/>
      <c r="K8" s="444"/>
      <c r="L8" s="99"/>
      <c r="M8" s="446"/>
      <c r="N8" s="466"/>
      <c r="O8" s="452"/>
      <c r="P8" s="473"/>
      <c r="Q8" s="462"/>
      <c r="R8" s="299"/>
      <c r="S8" s="471"/>
      <c r="T8" s="336"/>
    </row>
    <row r="9" spans="1:20" ht="15.75" thickBot="1">
      <c r="A9" s="428">
        <v>3</v>
      </c>
      <c r="B9" s="100" t="s">
        <v>44</v>
      </c>
      <c r="C9" s="255" t="s">
        <v>41</v>
      </c>
      <c r="D9" s="287">
        <f>'Журнал верт. углов'!G17</f>
        <v>-2</v>
      </c>
      <c r="E9" s="93">
        <f>'Журнал верт. углов'!H17</f>
        <v>-7</v>
      </c>
      <c r="F9" s="94"/>
      <c r="G9" s="432"/>
      <c r="H9" s="292">
        <f>'Ведомость D_d'!K10</f>
        <v>-2</v>
      </c>
      <c r="I9" s="290">
        <f>'Ведомость D_d'!L10</f>
        <v>-7.5</v>
      </c>
      <c r="J9" s="315">
        <f>'Ведомость D_d'!J10</f>
        <v>58.585000000000001</v>
      </c>
      <c r="K9" s="443"/>
      <c r="L9" s="95"/>
      <c r="M9" s="445">
        <f t="shared" ref="M9" si="6">J9*SIN(R9)</f>
        <v>-2.1723168300093181</v>
      </c>
      <c r="N9" s="465">
        <f t="shared" ref="N9" si="7">SUM(M9+S9)</f>
        <v>-2.1793319707940468</v>
      </c>
      <c r="O9" s="451">
        <f t="shared" ref="O9" si="8">O7+N7</f>
        <v>152.65916848882037</v>
      </c>
      <c r="P9" s="472">
        <f t="shared" ref="P9" si="9">A9</f>
        <v>3</v>
      </c>
      <c r="Q9" s="461">
        <f t="shared" ref="Q9" si="10">J9*COS(R9)</f>
        <v>58.544711670569008</v>
      </c>
      <c r="R9" s="299">
        <f t="shared" si="4"/>
        <v>-3.7088246604879506E-2</v>
      </c>
      <c r="S9" s="471">
        <f t="shared" ref="S9" si="11">(($M$20*Q9)/$Q$15)*(-1)</f>
        <v>-7.0151407847289775E-3</v>
      </c>
      <c r="T9" s="336"/>
    </row>
    <row r="10" spans="1:20" ht="15.75" thickBot="1">
      <c r="A10" s="429"/>
      <c r="B10" s="96" t="s">
        <v>45</v>
      </c>
      <c r="C10" s="256" t="s">
        <v>39</v>
      </c>
      <c r="D10" s="288">
        <f>'Журнал верт. углов'!G19</f>
        <v>2</v>
      </c>
      <c r="E10" s="97">
        <f>'Журнал верт. углов'!H19</f>
        <v>8</v>
      </c>
      <c r="F10" s="98"/>
      <c r="G10" s="433"/>
      <c r="H10" s="289"/>
      <c r="I10" s="291"/>
      <c r="J10" s="315"/>
      <c r="K10" s="444"/>
      <c r="L10" s="99"/>
      <c r="M10" s="446"/>
      <c r="N10" s="466"/>
      <c r="O10" s="452"/>
      <c r="P10" s="473"/>
      <c r="Q10" s="462"/>
      <c r="R10" s="299"/>
      <c r="S10" s="471"/>
      <c r="T10" s="336"/>
    </row>
    <row r="11" spans="1:20" ht="15.75" thickBot="1">
      <c r="A11" s="428">
        <v>4</v>
      </c>
      <c r="B11" s="100" t="s">
        <v>46</v>
      </c>
      <c r="C11" s="255" t="s">
        <v>41</v>
      </c>
      <c r="D11" s="287">
        <f>'Журнал верт. углов'!G21</f>
        <v>-6</v>
      </c>
      <c r="E11" s="93">
        <f>'Журнал верт. углов'!H21</f>
        <v>-13.5</v>
      </c>
      <c r="F11" s="94"/>
      <c r="G11" s="432"/>
      <c r="H11" s="292">
        <f>'Ведомость D_d'!K12</f>
        <v>-6</v>
      </c>
      <c r="I11" s="290">
        <f>'Ведомость D_d'!L12</f>
        <v>-13.99999999999995</v>
      </c>
      <c r="J11" s="315">
        <f>'Ведомость D_d'!J12</f>
        <v>39.94</v>
      </c>
      <c r="K11" s="443"/>
      <c r="L11" s="95"/>
      <c r="M11" s="445">
        <f t="shared" ref="M11" si="12">J11*SIN(R11)</f>
        <v>-4.336593776643733</v>
      </c>
      <c r="N11" s="465">
        <f t="shared" ref="N11" si="13">SUM(M11+S11)</f>
        <v>-4.3413513073052945</v>
      </c>
      <c r="O11" s="451">
        <f t="shared" ref="O11" si="14">O9+N9</f>
        <v>150.47983651802633</v>
      </c>
      <c r="P11" s="472">
        <f t="shared" ref="P11" si="15">A11</f>
        <v>4</v>
      </c>
      <c r="Q11" s="461">
        <f t="shared" ref="Q11" si="16">J11*COS(R11)</f>
        <v>39.703873292367518</v>
      </c>
      <c r="R11" s="299">
        <f t="shared" si="4"/>
        <v>-0.10879219004097986</v>
      </c>
      <c r="S11" s="471">
        <f t="shared" ref="S11" si="17">(($M$20*Q11)/$Q$15)*(-1)</f>
        <v>-4.7575306615613216E-3</v>
      </c>
      <c r="T11" s="336"/>
    </row>
    <row r="12" spans="1:20" ht="15.75" thickBot="1">
      <c r="A12" s="429"/>
      <c r="B12" s="96" t="s">
        <v>47</v>
      </c>
      <c r="C12" s="256" t="s">
        <v>39</v>
      </c>
      <c r="D12" s="288">
        <f>'Журнал верт. углов'!G23</f>
        <v>6</v>
      </c>
      <c r="E12" s="97">
        <f>'Журнал верт. углов'!H23</f>
        <v>14.5</v>
      </c>
      <c r="F12" s="98"/>
      <c r="G12" s="433"/>
      <c r="H12" s="289"/>
      <c r="I12" s="291"/>
      <c r="J12" s="315"/>
      <c r="K12" s="444"/>
      <c r="L12" s="99"/>
      <c r="M12" s="446"/>
      <c r="N12" s="466"/>
      <c r="O12" s="452"/>
      <c r="P12" s="473"/>
      <c r="Q12" s="462"/>
      <c r="R12" s="299"/>
      <c r="S12" s="471"/>
      <c r="T12" s="336"/>
    </row>
    <row r="13" spans="1:20" ht="15.75" thickBot="1">
      <c r="A13" s="453">
        <v>5</v>
      </c>
      <c r="B13" s="100" t="s">
        <v>48</v>
      </c>
      <c r="C13" s="255" t="s">
        <v>39</v>
      </c>
      <c r="D13" s="287">
        <f>'Журнал верт. углов'!G25</f>
        <v>0</v>
      </c>
      <c r="E13" s="93">
        <f>'Журнал верт. углов'!H25</f>
        <v>7</v>
      </c>
      <c r="F13" s="94"/>
      <c r="G13" s="432"/>
      <c r="H13" s="292">
        <f>'Ведомость D_d'!K14</f>
        <v>0</v>
      </c>
      <c r="I13" s="290">
        <f>'Ведомость D_d'!L14</f>
        <v>7</v>
      </c>
      <c r="J13" s="315">
        <f>'Ведомость D_d'!J14</f>
        <v>58.19</v>
      </c>
      <c r="K13" s="443"/>
      <c r="L13" s="101"/>
      <c r="M13" s="445">
        <f t="shared" ref="M13" si="18">J13*SIN(R13)</f>
        <v>0.11848741215738179</v>
      </c>
      <c r="N13" s="465">
        <f t="shared" ref="N13" si="19">SUM(M13+S13)</f>
        <v>0.11151478927895471</v>
      </c>
      <c r="O13" s="451">
        <f t="shared" ref="O13" si="20">O11+N11</f>
        <v>146.13848521072103</v>
      </c>
      <c r="P13" s="469">
        <f>A13</f>
        <v>5</v>
      </c>
      <c r="Q13" s="461">
        <f t="shared" ref="Q13" si="21">J13*COS(R13)</f>
        <v>58.189879366889564</v>
      </c>
      <c r="R13" s="299">
        <f t="shared" si="4"/>
        <v>2.0362174606600512E-3</v>
      </c>
      <c r="S13" s="471">
        <f t="shared" ref="S13" si="22">(($M$20*Q13)/$Q$15)*(-1)</f>
        <v>-6.9726228784270771E-3</v>
      </c>
      <c r="T13" s="336"/>
    </row>
    <row r="14" spans="1:20" ht="15.75" thickBot="1">
      <c r="A14" s="454"/>
      <c r="B14" s="96" t="s">
        <v>49</v>
      </c>
      <c r="C14" s="256" t="s">
        <v>41</v>
      </c>
      <c r="D14" s="288">
        <f>'Журнал верт. углов'!G27</f>
        <v>0</v>
      </c>
      <c r="E14" s="97">
        <f>'Журнал верт. углов'!H27</f>
        <v>-7</v>
      </c>
      <c r="F14" s="98"/>
      <c r="G14" s="433"/>
      <c r="H14" s="289"/>
      <c r="I14" s="291"/>
      <c r="J14" s="297"/>
      <c r="K14" s="444"/>
      <c r="L14" s="99"/>
      <c r="M14" s="446"/>
      <c r="N14" s="466"/>
      <c r="O14" s="452"/>
      <c r="P14" s="470"/>
      <c r="Q14" s="462"/>
      <c r="R14" s="299"/>
      <c r="S14" s="471"/>
      <c r="T14" s="336"/>
    </row>
    <row r="15" spans="1:20">
      <c r="A15" s="428"/>
      <c r="B15" s="102"/>
      <c r="C15" s="103"/>
      <c r="D15" s="104"/>
      <c r="E15" s="105"/>
      <c r="F15" s="106"/>
      <c r="G15" s="106"/>
      <c r="H15" s="447"/>
      <c r="I15" s="449"/>
      <c r="J15" s="455">
        <f>SUM(J5:J14)</f>
        <v>248.37</v>
      </c>
      <c r="K15" s="107"/>
      <c r="L15" s="107"/>
      <c r="M15" s="457">
        <f>SUM(M5:M14)</f>
        <v>2.9699250376507669E-2</v>
      </c>
      <c r="N15" s="467">
        <f>SUM(N5:N14)</f>
        <v>-9.298117831235686E-16</v>
      </c>
      <c r="O15" s="455">
        <f>O13+N13</f>
        <v>146.24999999999997</v>
      </c>
      <c r="P15" s="459" t="s">
        <v>72</v>
      </c>
      <c r="Q15" s="463">
        <f>SUM(Q5:Q14)</f>
        <v>247.85447697780646</v>
      </c>
    </row>
    <row r="16" spans="1:20" ht="15.75" thickBot="1">
      <c r="A16" s="429"/>
      <c r="B16" s="108"/>
      <c r="C16" s="109"/>
      <c r="D16" s="110"/>
      <c r="E16" s="111"/>
      <c r="F16" s="112"/>
      <c r="G16" s="112"/>
      <c r="H16" s="448"/>
      <c r="I16" s="450"/>
      <c r="J16" s="456"/>
      <c r="K16" s="113"/>
      <c r="L16" s="113"/>
      <c r="M16" s="458"/>
      <c r="N16" s="468"/>
      <c r="O16" s="456"/>
      <c r="P16" s="460"/>
      <c r="Q16" s="464"/>
    </row>
    <row r="17" spans="1:16">
      <c r="A17" s="79"/>
      <c r="B17" s="79"/>
      <c r="C17" s="79"/>
      <c r="D17" s="79"/>
      <c r="E17" s="79"/>
      <c r="F17" s="80"/>
      <c r="G17" s="80"/>
      <c r="H17" s="79"/>
      <c r="I17" s="79"/>
      <c r="J17" s="79"/>
      <c r="K17" s="80"/>
      <c r="L17" s="80"/>
      <c r="M17" s="114"/>
      <c r="N17" s="115"/>
      <c r="O17" s="79"/>
      <c r="P17" s="79"/>
    </row>
    <row r="18" spans="1:16">
      <c r="A18" s="79"/>
      <c r="B18" s="79"/>
      <c r="C18" s="79"/>
      <c r="D18" s="79"/>
      <c r="E18" s="79"/>
      <c r="F18" s="80"/>
      <c r="G18" s="80"/>
      <c r="H18" s="79"/>
      <c r="I18" s="79"/>
      <c r="J18" s="79"/>
      <c r="K18" s="80"/>
      <c r="L18" s="80"/>
      <c r="M18" s="114"/>
      <c r="N18" s="79"/>
      <c r="O18" s="79"/>
      <c r="P18" s="79"/>
    </row>
    <row r="19" spans="1:16">
      <c r="A19" s="79"/>
      <c r="B19" s="79"/>
      <c r="C19" s="79"/>
      <c r="D19" s="79"/>
      <c r="E19" s="79"/>
      <c r="F19" s="80"/>
      <c r="G19" s="80"/>
      <c r="H19" s="79"/>
      <c r="I19" s="79"/>
      <c r="J19" s="116" t="s">
        <v>73</v>
      </c>
      <c r="K19" s="117"/>
      <c r="L19" s="117"/>
      <c r="M19" s="118">
        <f>(0.04*Q15)/(SQRT(5))</f>
        <v>4.4337556724002551</v>
      </c>
      <c r="N19" s="79" t="s">
        <v>74</v>
      </c>
      <c r="O19" s="114"/>
      <c r="P19" s="79"/>
    </row>
    <row r="20" spans="1:16">
      <c r="A20" s="79"/>
      <c r="B20" s="79"/>
      <c r="C20" s="79"/>
      <c r="D20" s="79"/>
      <c r="E20" s="79"/>
      <c r="F20" s="80"/>
      <c r="G20" s="80"/>
      <c r="H20" s="79"/>
      <c r="I20" s="79"/>
      <c r="J20" s="116" t="s">
        <v>75</v>
      </c>
      <c r="K20" s="117"/>
      <c r="L20" s="117"/>
      <c r="M20" s="114">
        <f>SUM(M5:M14)</f>
        <v>2.9699250376507669E-2</v>
      </c>
      <c r="N20" s="79" t="s">
        <v>20</v>
      </c>
      <c r="O20" s="119"/>
      <c r="P20" s="79"/>
    </row>
    <row r="21" spans="1:16">
      <c r="A21" s="79"/>
      <c r="B21" s="79"/>
      <c r="C21" s="79"/>
      <c r="D21" s="79"/>
      <c r="E21" s="79"/>
      <c r="F21" s="80"/>
      <c r="G21" s="80"/>
      <c r="H21" s="79"/>
      <c r="I21" s="79"/>
      <c r="J21" s="79"/>
      <c r="K21" s="80"/>
      <c r="L21" s="80"/>
      <c r="M21" s="79"/>
      <c r="N21" s="114"/>
      <c r="O21" s="79"/>
      <c r="P21" s="79"/>
    </row>
    <row r="22" spans="1:16">
      <c r="A22" s="32"/>
      <c r="B22" s="62"/>
      <c r="C22" s="62"/>
      <c r="D22" s="62"/>
      <c r="E22" s="32"/>
      <c r="F22" s="120"/>
      <c r="G22" s="120"/>
      <c r="H22" s="32"/>
      <c r="I22" s="32"/>
      <c r="J22" s="32"/>
      <c r="K22" s="120"/>
      <c r="L22" s="120"/>
      <c r="M22" s="32"/>
      <c r="N22" s="121"/>
      <c r="O22" s="32"/>
      <c r="P22" s="32"/>
    </row>
    <row r="23" spans="1:16">
      <c r="A23" s="32"/>
      <c r="B23" s="62"/>
      <c r="C23" s="62"/>
      <c r="D23" s="62"/>
      <c r="E23" s="32"/>
      <c r="F23" s="120"/>
      <c r="G23" s="120"/>
      <c r="H23" s="32"/>
      <c r="I23" s="32"/>
      <c r="J23" s="32"/>
      <c r="K23" s="120"/>
      <c r="L23" s="120"/>
      <c r="M23" s="32"/>
      <c r="N23" s="32"/>
      <c r="O23" s="32"/>
      <c r="P23" s="32"/>
    </row>
    <row r="24" spans="1:16">
      <c r="A24" s="32"/>
      <c r="B24" s="62"/>
      <c r="C24" s="62"/>
      <c r="D24" s="32"/>
      <c r="E24" s="32"/>
      <c r="F24" s="62"/>
      <c r="G24" s="62"/>
      <c r="H24" s="62"/>
      <c r="I24" s="32"/>
      <c r="J24" s="32"/>
      <c r="K24" s="120"/>
      <c r="L24" s="120"/>
      <c r="M24" s="32"/>
      <c r="N24" s="32"/>
      <c r="O24" s="32"/>
      <c r="P24" s="32"/>
    </row>
    <row r="25" spans="1:16">
      <c r="A25" s="32"/>
      <c r="B25" s="62"/>
      <c r="C25" s="62"/>
      <c r="D25" s="32"/>
      <c r="E25" s="32"/>
      <c r="F25" s="62"/>
      <c r="G25" s="62"/>
      <c r="H25" s="62"/>
      <c r="I25" s="32"/>
      <c r="J25" s="251"/>
      <c r="K25" s="253"/>
      <c r="L25" s="253"/>
      <c r="M25" s="254"/>
      <c r="N25" s="32"/>
      <c r="O25" s="32"/>
      <c r="P25" s="32"/>
    </row>
    <row r="26" spans="1:16">
      <c r="A26" s="32"/>
      <c r="B26" s="62"/>
      <c r="C26" s="62"/>
      <c r="D26" s="62"/>
      <c r="E26" s="62"/>
      <c r="F26" s="62"/>
      <c r="G26" s="62"/>
      <c r="H26" s="62"/>
      <c r="I26" s="32"/>
      <c r="J26" s="251"/>
      <c r="K26" s="253"/>
      <c r="L26" s="253"/>
      <c r="M26" s="254"/>
      <c r="N26" s="32"/>
      <c r="O26" s="32"/>
      <c r="P26" s="32"/>
    </row>
    <row r="27" spans="1:16">
      <c r="J27" s="251"/>
      <c r="K27" s="252"/>
      <c r="L27" s="252"/>
      <c r="M27" s="254"/>
      <c r="N27" s="32"/>
    </row>
    <row r="28" spans="1:16">
      <c r="J28" s="251"/>
      <c r="K28" s="252"/>
      <c r="L28" s="252"/>
      <c r="M28" s="254"/>
      <c r="N28" s="32"/>
    </row>
    <row r="29" spans="1:16">
      <c r="J29" s="251"/>
      <c r="K29" s="252"/>
      <c r="L29" s="252"/>
      <c r="M29" s="254"/>
      <c r="N29" s="32"/>
    </row>
    <row r="30" spans="1:16">
      <c r="J30" s="251"/>
    </row>
  </sheetData>
  <mergeCells count="74">
    <mergeCell ref="T3:T4"/>
    <mergeCell ref="N5:N6"/>
    <mergeCell ref="N7:N8"/>
    <mergeCell ref="N9:N10"/>
    <mergeCell ref="N11:N12"/>
    <mergeCell ref="R3:R4"/>
    <mergeCell ref="S3:S4"/>
    <mergeCell ref="Q2:Q4"/>
    <mergeCell ref="P2:P4"/>
    <mergeCell ref="O2:O4"/>
    <mergeCell ref="T5:T6"/>
    <mergeCell ref="T7:T8"/>
    <mergeCell ref="T9:T10"/>
    <mergeCell ref="T11:T12"/>
    <mergeCell ref="S9:S10"/>
    <mergeCell ref="S11:S12"/>
    <mergeCell ref="Q9:Q10"/>
    <mergeCell ref="Q11:Q12"/>
    <mergeCell ref="O9:O10"/>
    <mergeCell ref="P9:P10"/>
    <mergeCell ref="P11:P12"/>
    <mergeCell ref="Q7:Q8"/>
    <mergeCell ref="P7:P8"/>
    <mergeCell ref="O5:O6"/>
    <mergeCell ref="P5:P6"/>
    <mergeCell ref="S5:S6"/>
    <mergeCell ref="Q5:Q6"/>
    <mergeCell ref="S7:S8"/>
    <mergeCell ref="T13:T14"/>
    <mergeCell ref="J15:J16"/>
    <mergeCell ref="M15:M16"/>
    <mergeCell ref="O15:O16"/>
    <mergeCell ref="P15:P16"/>
    <mergeCell ref="Q13:Q14"/>
    <mergeCell ref="Q15:Q16"/>
    <mergeCell ref="N13:N14"/>
    <mergeCell ref="N15:N16"/>
    <mergeCell ref="P13:P14"/>
    <mergeCell ref="S13:S14"/>
    <mergeCell ref="O11:O12"/>
    <mergeCell ref="A13:A14"/>
    <mergeCell ref="G13:G14"/>
    <mergeCell ref="K13:K14"/>
    <mergeCell ref="M13:M14"/>
    <mergeCell ref="O13:O14"/>
    <mergeCell ref="A15:A16"/>
    <mergeCell ref="H15:H16"/>
    <mergeCell ref="I15:I16"/>
    <mergeCell ref="M7:M8"/>
    <mergeCell ref="O7:O8"/>
    <mergeCell ref="K9:K10"/>
    <mergeCell ref="M9:M10"/>
    <mergeCell ref="A9:A10"/>
    <mergeCell ref="G9:G10"/>
    <mergeCell ref="A7:A8"/>
    <mergeCell ref="G7:G8"/>
    <mergeCell ref="K7:K8"/>
    <mergeCell ref="A11:A12"/>
    <mergeCell ref="G11:G12"/>
    <mergeCell ref="K11:K12"/>
    <mergeCell ref="M11:M12"/>
    <mergeCell ref="D3:E3"/>
    <mergeCell ref="H3:I3"/>
    <mergeCell ref="M3:M4"/>
    <mergeCell ref="N3:N4"/>
    <mergeCell ref="A5:A6"/>
    <mergeCell ref="G5:G6"/>
    <mergeCell ref="A2:A4"/>
    <mergeCell ref="B2:B4"/>
    <mergeCell ref="C2:I2"/>
    <mergeCell ref="J2:J4"/>
    <mergeCell ref="M2:N2"/>
    <mergeCell ref="K5:K6"/>
    <mergeCell ref="M5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"/>
  <sheetViews>
    <sheetView tabSelected="1" zoomScaleNormal="100" workbookViewId="0">
      <selection activeCell="P11" sqref="P11:P12"/>
    </sheetView>
  </sheetViews>
  <sheetFormatPr defaultRowHeight="15"/>
  <cols>
    <col min="6" max="8" width="0" hidden="1" customWidth="1"/>
    <col min="11" max="11" width="0" hidden="1" customWidth="1"/>
    <col min="13" max="13" width="9.140625" hidden="1" customWidth="1"/>
    <col min="16" max="16" width="9.140625" style="245" customWidth="1"/>
    <col min="20" max="22" width="0" hidden="1" customWidth="1"/>
    <col min="23" max="23" width="9.140625" hidden="1" customWidth="1"/>
    <col min="28" max="29" width="10.140625" bestFit="1" customWidth="1"/>
  </cols>
  <sheetData>
    <row r="1" spans="2:34">
      <c r="C1" s="122"/>
      <c r="E1" s="123"/>
      <c r="F1" s="124"/>
      <c r="G1" s="124"/>
      <c r="H1" s="124"/>
      <c r="Q1" s="125"/>
      <c r="R1" s="125"/>
      <c r="S1" s="125"/>
      <c r="AA1" s="123"/>
    </row>
    <row r="2" spans="2:34">
      <c r="Q2" s="125"/>
      <c r="R2" s="125"/>
      <c r="S2" s="125"/>
    </row>
    <row r="3" spans="2:34" ht="18.75">
      <c r="C3" s="126" t="s">
        <v>79</v>
      </c>
      <c r="D3" s="497">
        <f ca="1">TODAY()</f>
        <v>45011</v>
      </c>
      <c r="E3" s="336"/>
      <c r="I3" s="127"/>
      <c r="J3" s="128" t="s">
        <v>80</v>
      </c>
      <c r="Q3" s="125"/>
      <c r="R3" s="125"/>
      <c r="S3" s="125"/>
    </row>
    <row r="4" spans="2:34" ht="15.75" thickBot="1">
      <c r="Q4" s="125"/>
      <c r="R4" s="125"/>
      <c r="S4" s="125"/>
    </row>
    <row r="5" spans="2:34" ht="15.75" customHeight="1" thickBot="1">
      <c r="B5" s="129"/>
      <c r="C5" s="498" t="s">
        <v>81</v>
      </c>
      <c r="D5" s="501" t="s">
        <v>82</v>
      </c>
      <c r="E5" s="502"/>
      <c r="F5" s="502"/>
      <c r="G5" s="502"/>
      <c r="H5" s="502"/>
      <c r="I5" s="502"/>
      <c r="J5" s="502"/>
      <c r="K5" s="503"/>
      <c r="L5" s="504" t="s">
        <v>83</v>
      </c>
      <c r="M5" s="504" t="s">
        <v>84</v>
      </c>
      <c r="N5" s="507" t="s">
        <v>85</v>
      </c>
      <c r="O5" s="508"/>
      <c r="P5" s="509"/>
      <c r="Q5" s="526" t="s">
        <v>86</v>
      </c>
      <c r="R5" s="526" t="s">
        <v>87</v>
      </c>
      <c r="S5" s="529" t="s">
        <v>88</v>
      </c>
      <c r="T5" s="521" t="s">
        <v>89</v>
      </c>
      <c r="U5" s="522"/>
      <c r="V5" s="522"/>
      <c r="W5" s="523"/>
      <c r="X5" s="521" t="s">
        <v>19</v>
      </c>
      <c r="Y5" s="522"/>
      <c r="Z5" s="522"/>
      <c r="AA5" s="523"/>
      <c r="AB5" s="507" t="s">
        <v>90</v>
      </c>
      <c r="AC5" s="509"/>
      <c r="AD5" s="498" t="s">
        <v>81</v>
      </c>
      <c r="AE5" s="565" t="s">
        <v>91</v>
      </c>
      <c r="AF5" s="566"/>
    </row>
    <row r="6" spans="2:34" ht="15.75" thickBot="1">
      <c r="B6" s="129"/>
      <c r="C6" s="499"/>
      <c r="D6" s="521" t="s">
        <v>92</v>
      </c>
      <c r="E6" s="522"/>
      <c r="F6" s="522"/>
      <c r="G6" s="523"/>
      <c r="H6" s="524" t="s">
        <v>93</v>
      </c>
      <c r="I6" s="522"/>
      <c r="J6" s="522"/>
      <c r="K6" s="523"/>
      <c r="L6" s="505"/>
      <c r="M6" s="505"/>
      <c r="N6" s="510"/>
      <c r="O6" s="511"/>
      <c r="P6" s="512"/>
      <c r="Q6" s="527"/>
      <c r="R6" s="527"/>
      <c r="S6" s="530"/>
      <c r="T6" s="525" t="s">
        <v>94</v>
      </c>
      <c r="U6" s="525" t="s">
        <v>59</v>
      </c>
      <c r="V6" s="525" t="s">
        <v>36</v>
      </c>
      <c r="W6" s="525" t="s">
        <v>95</v>
      </c>
      <c r="X6" s="130" t="s">
        <v>96</v>
      </c>
      <c r="Y6" s="131"/>
      <c r="Z6" s="132" t="s">
        <v>97</v>
      </c>
      <c r="AA6" s="133"/>
      <c r="AB6" s="510"/>
      <c r="AC6" s="512"/>
      <c r="AD6" s="499"/>
      <c r="AE6" s="567"/>
      <c r="AF6" s="568"/>
    </row>
    <row r="7" spans="2:34" ht="15.75" thickBot="1">
      <c r="B7" s="129"/>
      <c r="C7" s="500"/>
      <c r="D7" s="134" t="s">
        <v>59</v>
      </c>
      <c r="E7" s="134" t="s">
        <v>36</v>
      </c>
      <c r="F7" s="134" t="s">
        <v>95</v>
      </c>
      <c r="G7" s="135" t="s">
        <v>84</v>
      </c>
      <c r="H7" s="135" t="s">
        <v>98</v>
      </c>
      <c r="I7" s="134" t="s">
        <v>59</v>
      </c>
      <c r="J7" s="134" t="s">
        <v>36</v>
      </c>
      <c r="K7" s="134" t="s">
        <v>95</v>
      </c>
      <c r="L7" s="506"/>
      <c r="M7" s="506"/>
      <c r="N7" s="134" t="s">
        <v>59</v>
      </c>
      <c r="O7" s="134" t="s">
        <v>36</v>
      </c>
      <c r="P7" s="246" t="s">
        <v>117</v>
      </c>
      <c r="Q7" s="528"/>
      <c r="R7" s="528"/>
      <c r="S7" s="531"/>
      <c r="T7" s="500"/>
      <c r="U7" s="500"/>
      <c r="V7" s="500"/>
      <c r="W7" s="500"/>
      <c r="X7" s="134" t="s">
        <v>99</v>
      </c>
      <c r="Y7" s="134" t="s">
        <v>100</v>
      </c>
      <c r="Z7" s="136" t="s">
        <v>101</v>
      </c>
      <c r="AA7" s="136" t="s">
        <v>102</v>
      </c>
      <c r="AB7" s="136" t="s">
        <v>103</v>
      </c>
      <c r="AC7" s="136" t="s">
        <v>104</v>
      </c>
      <c r="AD7" s="500"/>
      <c r="AE7" s="136" t="s">
        <v>99</v>
      </c>
      <c r="AF7" s="136" t="s">
        <v>100</v>
      </c>
      <c r="AH7" s="335"/>
    </row>
    <row r="8" spans="2:34" ht="17.25" thickBot="1">
      <c r="B8" s="129"/>
      <c r="C8" s="137">
        <v>5</v>
      </c>
      <c r="D8" s="532"/>
      <c r="E8" s="532"/>
      <c r="F8" s="185"/>
      <c r="G8" s="186"/>
      <c r="H8" s="186"/>
      <c r="I8" s="576"/>
      <c r="J8" s="576"/>
      <c r="K8" s="187"/>
      <c r="L8" s="188"/>
      <c r="M8" s="188"/>
      <c r="N8" s="189"/>
      <c r="O8" s="189"/>
      <c r="P8" s="247"/>
      <c r="Q8" s="190"/>
      <c r="R8" s="190"/>
      <c r="S8" s="190"/>
      <c r="T8" s="189"/>
      <c r="U8" s="189"/>
      <c r="V8" s="189"/>
      <c r="W8" s="189"/>
      <c r="X8" s="191"/>
      <c r="Y8" s="191"/>
      <c r="Z8" s="191"/>
      <c r="AA8" s="191"/>
      <c r="AB8" s="192"/>
      <c r="AC8" s="230"/>
      <c r="AD8" s="193">
        <v>5</v>
      </c>
      <c r="AE8" s="138"/>
      <c r="AF8" s="138"/>
      <c r="AH8" s="335"/>
    </row>
    <row r="9" spans="2:34" ht="16.5" thickBot="1">
      <c r="B9" s="129"/>
      <c r="C9" s="205"/>
      <c r="D9" s="533"/>
      <c r="E9" s="533"/>
      <c r="F9" s="194"/>
      <c r="G9" s="195"/>
      <c r="H9" s="195"/>
      <c r="I9" s="577"/>
      <c r="J9" s="577"/>
      <c r="K9" s="196"/>
      <c r="L9" s="272">
        <f>'Ведомость D_d'!P14</f>
        <v>58.189879366889564</v>
      </c>
      <c r="M9" s="197"/>
      <c r="N9" s="563">
        <v>42</v>
      </c>
      <c r="O9" s="563">
        <v>12.5</v>
      </c>
      <c r="P9" s="541">
        <f>DEGREES(Q9)</f>
        <v>42.208333333333343</v>
      </c>
      <c r="Q9" s="537">
        <f>RADIANS(N9+O9/60)</f>
        <v>0.73667438844594002</v>
      </c>
      <c r="R9" s="537">
        <f>SIN(Q9)</f>
        <v>0.67182832787881852</v>
      </c>
      <c r="S9" s="537">
        <f>COS(Q9)</f>
        <v>0.74070689065213291</v>
      </c>
      <c r="T9" s="243"/>
      <c r="U9" s="222"/>
      <c r="V9" s="222"/>
      <c r="W9" s="222"/>
      <c r="X9" s="513">
        <f>L9*S9</f>
        <v>43.101644613271475</v>
      </c>
      <c r="Y9" s="513">
        <f>L9*R9</f>
        <v>39.09360935452758</v>
      </c>
      <c r="Z9" s="513">
        <f>X9+X35</f>
        <v>43.113939322199805</v>
      </c>
      <c r="AA9" s="513">
        <f>Y9+Y35</f>
        <v>39.095833020750199</v>
      </c>
      <c r="AB9" s="279"/>
      <c r="AC9" s="280"/>
      <c r="AD9" s="199"/>
      <c r="AE9" s="482">
        <f>X35</f>
        <v>1.2294708928327387E-2</v>
      </c>
      <c r="AF9" s="480">
        <f>Y35</f>
        <v>2.2236662226216325E-3</v>
      </c>
      <c r="AH9" s="335"/>
    </row>
    <row r="10" spans="2:34" ht="17.25" customHeight="1" thickBot="1">
      <c r="B10" s="129"/>
      <c r="C10" s="210">
        <v>1</v>
      </c>
      <c r="D10" s="281">
        <f>'Журнал гор. углов'!I7</f>
        <v>86</v>
      </c>
      <c r="E10" s="313">
        <f>'Журнал гор. углов'!J7</f>
        <v>49.499999691312269</v>
      </c>
      <c r="F10" s="215"/>
      <c r="G10" s="216"/>
      <c r="H10" s="216"/>
      <c r="I10" s="330">
        <f>INT(DEGREES(AJ27))</f>
        <v>86</v>
      </c>
      <c r="J10" s="331">
        <f>MOD(AK27,IF(AK27&lt;0,-1,1))*60</f>
        <v>49.348738833398329</v>
      </c>
      <c r="K10" s="198"/>
      <c r="L10" s="273"/>
      <c r="M10" s="200"/>
      <c r="N10" s="564"/>
      <c r="O10" s="564"/>
      <c r="P10" s="542"/>
      <c r="Q10" s="538"/>
      <c r="R10" s="538"/>
      <c r="S10" s="538"/>
      <c r="T10" s="234"/>
      <c r="U10" s="229"/>
      <c r="V10" s="229"/>
      <c r="W10" s="229"/>
      <c r="X10" s="514"/>
      <c r="Y10" s="514"/>
      <c r="Z10" s="515"/>
      <c r="AA10" s="569"/>
      <c r="AB10" s="570">
        <v>8491.7860000000001</v>
      </c>
      <c r="AC10" s="572">
        <v>1493.576</v>
      </c>
      <c r="AD10" s="201">
        <v>1</v>
      </c>
      <c r="AE10" s="483"/>
      <c r="AF10" s="481"/>
      <c r="AH10" s="335"/>
    </row>
    <row r="11" spans="2:34" ht="16.5" thickBot="1">
      <c r="B11" s="129"/>
      <c r="C11" s="211"/>
      <c r="D11" s="282"/>
      <c r="E11" s="314"/>
      <c r="F11" s="217"/>
      <c r="G11" s="218"/>
      <c r="H11" s="219"/>
      <c r="I11" s="332"/>
      <c r="J11" s="333"/>
      <c r="K11" s="196"/>
      <c r="L11" s="274">
        <f>'Ведомость D_d'!P6</f>
        <v>51.153413176948845</v>
      </c>
      <c r="M11" s="197"/>
      <c r="N11" s="539">
        <f>INT(P11)</f>
        <v>135</v>
      </c>
      <c r="O11" s="543">
        <f>MOD(P11,IF(P11&lt;0,-1,1))*60</f>
        <v>23.151261166602239</v>
      </c>
      <c r="P11" s="541">
        <f>IF(P9&lt;180, IF(P9+180-AK27&lt;0,P9+180-AK27+360,P9+180-AK27), IF(P9-180-AK27&lt;0,P9-180-AK27+360,P9-180-AK27))</f>
        <v>135.3858543527767</v>
      </c>
      <c r="Q11" s="537">
        <f>RADIANS(P11)</f>
        <v>2.3629289190814502</v>
      </c>
      <c r="R11" s="537">
        <f t="shared" ref="R11" si="0">SIN(Q11)</f>
        <v>0.7023288223650308</v>
      </c>
      <c r="S11" s="537">
        <f t="shared" ref="S11" si="1">COS(Q11)</f>
        <v>-0.71185267104601702</v>
      </c>
      <c r="T11" s="243"/>
      <c r="U11" s="222"/>
      <c r="V11" s="222"/>
      <c r="W11" s="236"/>
      <c r="X11" s="516">
        <f t="shared" ref="X11:X17" si="2">L11*S11</f>
        <v>-36.413693803131558</v>
      </c>
      <c r="Y11" s="518">
        <f t="shared" ref="Y11:Y17" si="3">L11*R11</f>
        <v>35.926516436518334</v>
      </c>
      <c r="Z11" s="513">
        <f t="shared" ref="Z11:AA11" si="4">X11+X37</f>
        <v>-36.402885801249724</v>
      </c>
      <c r="AA11" s="545">
        <f t="shared" si="4"/>
        <v>35.928471211442961</v>
      </c>
      <c r="AB11" s="571"/>
      <c r="AC11" s="573"/>
      <c r="AD11" s="199"/>
      <c r="AE11" s="482">
        <f t="shared" ref="AE11:AF11" si="5">X37</f>
        <v>1.0808001881834291E-2</v>
      </c>
      <c r="AF11" s="480">
        <f t="shared" si="5"/>
        <v>1.9547749246256888E-3</v>
      </c>
      <c r="AH11" s="335"/>
    </row>
    <row r="12" spans="2:34" ht="16.5" thickBot="1">
      <c r="B12" s="129"/>
      <c r="C12" s="210">
        <v>2</v>
      </c>
      <c r="D12" s="281">
        <f>'Журнал гор. углов'!I11</f>
        <v>116</v>
      </c>
      <c r="E12" s="313">
        <f>'Журнал гор. углов'!J11</f>
        <v>51.999999999999602</v>
      </c>
      <c r="F12" s="215"/>
      <c r="G12" s="216"/>
      <c r="H12" s="216"/>
      <c r="I12" s="330">
        <f t="shared" ref="I12" si="6">INT(DEGREES(AJ29))</f>
        <v>116</v>
      </c>
      <c r="J12" s="331">
        <f t="shared" ref="J12" si="7">MOD(AK29,IF(AK29&lt;0,-1,1))*60</f>
        <v>51.84873914208481</v>
      </c>
      <c r="K12" s="198"/>
      <c r="L12" s="273"/>
      <c r="M12" s="200"/>
      <c r="N12" s="540"/>
      <c r="O12" s="544"/>
      <c r="P12" s="542"/>
      <c r="Q12" s="538"/>
      <c r="R12" s="538"/>
      <c r="S12" s="538"/>
      <c r="T12" s="234"/>
      <c r="U12" s="229"/>
      <c r="V12" s="229"/>
      <c r="W12" s="237"/>
      <c r="X12" s="517"/>
      <c r="Y12" s="514"/>
      <c r="Z12" s="515"/>
      <c r="AA12" s="515"/>
      <c r="AB12" s="546">
        <f>Z11+AB10</f>
        <v>8455.3831141987503</v>
      </c>
      <c r="AC12" s="574">
        <f>AC10+AA11</f>
        <v>1529.5044712114429</v>
      </c>
      <c r="AD12" s="201">
        <v>2</v>
      </c>
      <c r="AE12" s="483"/>
      <c r="AF12" s="481"/>
      <c r="AH12" s="335"/>
    </row>
    <row r="13" spans="2:34" ht="16.5" thickBot="1">
      <c r="B13" s="144"/>
      <c r="C13" s="211"/>
      <c r="D13" s="283"/>
      <c r="E13" s="314"/>
      <c r="F13" s="217"/>
      <c r="G13" s="218"/>
      <c r="H13" s="219"/>
      <c r="I13" s="332"/>
      <c r="J13" s="333"/>
      <c r="K13" s="196"/>
      <c r="L13" s="274">
        <f>'Ведомость D_d'!P8</f>
        <v>40.262599471031535</v>
      </c>
      <c r="M13" s="197"/>
      <c r="N13" s="539">
        <f t="shared" ref="N13" si="8">INT(P13)</f>
        <v>198</v>
      </c>
      <c r="O13" s="543">
        <f t="shared" ref="O13" si="9">MOD(P13,IF(P13&lt;0,-1,1))*60</f>
        <v>31.302522024519135</v>
      </c>
      <c r="P13" s="541">
        <f t="shared" ref="P13" si="10">IF(P11&lt;180, IF(P11+180-AK29&lt;0,P11+180-AK29+360,P11+180-AK29), IF(P11-180-AK29&lt;0,P11-180-AK29+360,P11-180-AK29))</f>
        <v>198.52170870040865</v>
      </c>
      <c r="Q13" s="537">
        <f t="shared" ref="Q13" si="11">RADIANS(P13)</f>
        <v>3.4648574535072041</v>
      </c>
      <c r="R13" s="537">
        <f t="shared" ref="R13" si="12">SIN(Q13)</f>
        <v>-0.31766394235705792</v>
      </c>
      <c r="S13" s="537">
        <f t="shared" ref="S13" si="13">COS(Q13)</f>
        <v>-0.94820336411878003</v>
      </c>
      <c r="T13" s="243"/>
      <c r="U13" s="222"/>
      <c r="V13" s="222"/>
      <c r="W13" s="236"/>
      <c r="X13" s="516">
        <f t="shared" si="2"/>
        <v>-38.177132266599116</v>
      </c>
      <c r="Y13" s="518">
        <f t="shared" si="3"/>
        <v>-12.789976077511072</v>
      </c>
      <c r="Z13" s="513">
        <f t="shared" ref="Z13:AA13" si="14">X13+X39</f>
        <v>-38.168625341570575</v>
      </c>
      <c r="AA13" s="513">
        <f t="shared" si="14"/>
        <v>-12.788437483799369</v>
      </c>
      <c r="AB13" s="547"/>
      <c r="AC13" s="575"/>
      <c r="AD13" s="199"/>
      <c r="AE13" s="482">
        <f t="shared" ref="AE13:AF13" si="15">X39</f>
        <v>8.5069250285442054E-3</v>
      </c>
      <c r="AF13" s="480">
        <f t="shared" si="15"/>
        <v>1.5385937117034126E-3</v>
      </c>
      <c r="AH13" s="335"/>
    </row>
    <row r="14" spans="2:34" ht="16.5" customHeight="1" thickBot="1">
      <c r="B14" s="145"/>
      <c r="C14" s="210">
        <v>3</v>
      </c>
      <c r="D14" s="281">
        <f>'Журнал гор. углов'!I15</f>
        <v>116</v>
      </c>
      <c r="E14" s="313">
        <f>'Журнал гор. углов'!J15</f>
        <v>24.999999691312382</v>
      </c>
      <c r="F14" s="215"/>
      <c r="G14" s="216"/>
      <c r="H14" s="216"/>
      <c r="I14" s="330">
        <f t="shared" ref="I14" si="16">INT(DEGREES(AJ31))</f>
        <v>116</v>
      </c>
      <c r="J14" s="331">
        <f t="shared" ref="J14" si="17">MOD(AK31,IF(AK31&lt;0,-1,1))*60</f>
        <v>24.84873883339759</v>
      </c>
      <c r="K14" s="198"/>
      <c r="L14" s="273"/>
      <c r="M14" s="200"/>
      <c r="N14" s="540"/>
      <c r="O14" s="544"/>
      <c r="P14" s="542"/>
      <c r="Q14" s="538"/>
      <c r="R14" s="538"/>
      <c r="S14" s="538"/>
      <c r="T14" s="234"/>
      <c r="U14" s="229"/>
      <c r="V14" s="229"/>
      <c r="W14" s="237"/>
      <c r="X14" s="517"/>
      <c r="Y14" s="514"/>
      <c r="Z14" s="515"/>
      <c r="AA14" s="515"/>
      <c r="AB14" s="546">
        <f t="shared" ref="AB14" si="18">Z13+AB12</f>
        <v>8417.2144888571802</v>
      </c>
      <c r="AC14" s="574">
        <f t="shared" ref="AC14" si="19">AC12+AA13</f>
        <v>1516.7160337276437</v>
      </c>
      <c r="AD14" s="201">
        <v>3</v>
      </c>
      <c r="AE14" s="483"/>
      <c r="AF14" s="481"/>
      <c r="AH14" s="335"/>
    </row>
    <row r="15" spans="2:34" ht="16.5" customHeight="1" thickBot="1">
      <c r="B15" s="145"/>
      <c r="C15" s="211"/>
      <c r="D15" s="283"/>
      <c r="E15" s="314"/>
      <c r="F15" s="217"/>
      <c r="G15" s="218"/>
      <c r="H15" s="219"/>
      <c r="I15" s="332"/>
      <c r="J15" s="333"/>
      <c r="K15" s="196"/>
      <c r="L15" s="274">
        <f>'Ведомость D_d'!P10</f>
        <v>58.544711670569008</v>
      </c>
      <c r="M15" s="197"/>
      <c r="N15" s="539">
        <f t="shared" ref="N15" si="20">INT(P15)</f>
        <v>262</v>
      </c>
      <c r="O15" s="543">
        <f t="shared" ref="O15" si="21">MOD(P15,IF(P15&lt;0,-1,1))*60</f>
        <v>6.4537831911206922</v>
      </c>
      <c r="P15" s="541">
        <f t="shared" ref="P15" si="22">IF(P13&lt;180, IF(P13+180-AK31&lt;0,P13+180-AK31+360,P13+180-AK31), IF(P13-180-AK31&lt;0,P13-180-AK31+360,P13-180-AK31))</f>
        <v>262.10756305318534</v>
      </c>
      <c r="Q15" s="537">
        <f t="shared" ref="Q15" si="23">RADIANS(P15)</f>
        <v>4.574639969656725</v>
      </c>
      <c r="R15" s="537">
        <f t="shared" ref="R15" si="24">SIN(Q15)</f>
        <v>-0.99052759731367446</v>
      </c>
      <c r="S15" s="537">
        <f t="shared" ref="S15" si="25">COS(Q15)</f>
        <v>-0.13731379741307592</v>
      </c>
      <c r="T15" s="243"/>
      <c r="U15" s="222"/>
      <c r="V15" s="222"/>
      <c r="W15" s="236"/>
      <c r="X15" s="516">
        <f t="shared" si="2"/>
        <v>-8.0389966779394548</v>
      </c>
      <c r="Y15" s="518">
        <f t="shared" si="3"/>
        <v>-57.990152586470558</v>
      </c>
      <c r="Z15" s="513">
        <f t="shared" ref="Z15:AA15" si="26">X15+X41</f>
        <v>-8.0266269979003511</v>
      </c>
      <c r="AA15" s="513">
        <f t="shared" si="26"/>
        <v>-57.987915360697428</v>
      </c>
      <c r="AB15" s="547"/>
      <c r="AC15" s="575"/>
      <c r="AD15" s="199"/>
      <c r="AE15" s="482">
        <f t="shared" ref="AE15:AF15" si="27">X41</f>
        <v>1.2369680039104236E-2</v>
      </c>
      <c r="AF15" s="480">
        <f t="shared" si="27"/>
        <v>2.2372257731306162E-3</v>
      </c>
      <c r="AH15" s="335"/>
    </row>
    <row r="16" spans="2:34" ht="16.5" customHeight="1" thickBot="1">
      <c r="B16" s="129"/>
      <c r="C16" s="210">
        <v>4</v>
      </c>
      <c r="D16" s="281">
        <f>'Журнал гор. углов'!I19</f>
        <v>88</v>
      </c>
      <c r="E16" s="313">
        <f>'Журнал гор. углов'!J19</f>
        <v>15.249999691311018</v>
      </c>
      <c r="F16" s="215"/>
      <c r="G16" s="216"/>
      <c r="H16" s="216"/>
      <c r="I16" s="330">
        <f t="shared" ref="I16" si="28">INT(DEGREES(AJ33))</f>
        <v>88</v>
      </c>
      <c r="J16" s="331">
        <f t="shared" ref="J16" si="29">MOD(AK33,IF(AK33&lt;0,-1,1))*60</f>
        <v>15.098738833397078</v>
      </c>
      <c r="K16" s="198"/>
      <c r="L16" s="273"/>
      <c r="M16" s="200"/>
      <c r="N16" s="540"/>
      <c r="O16" s="544"/>
      <c r="P16" s="542"/>
      <c r="Q16" s="538"/>
      <c r="R16" s="538"/>
      <c r="S16" s="538"/>
      <c r="T16" s="234"/>
      <c r="U16" s="229"/>
      <c r="V16" s="229"/>
      <c r="W16" s="237"/>
      <c r="X16" s="517"/>
      <c r="Y16" s="514"/>
      <c r="Z16" s="515"/>
      <c r="AA16" s="569"/>
      <c r="AB16" s="546">
        <f t="shared" ref="AB16" si="30">Z15+AB14</f>
        <v>8409.18786185928</v>
      </c>
      <c r="AC16" s="574">
        <f t="shared" ref="AC16" si="31">AC14+AA15</f>
        <v>1458.7281183669463</v>
      </c>
      <c r="AD16" s="277">
        <v>4</v>
      </c>
      <c r="AE16" s="483"/>
      <c r="AF16" s="481"/>
      <c r="AH16" s="335"/>
    </row>
    <row r="17" spans="1:38" ht="16.5" customHeight="1" thickBot="1">
      <c r="B17" s="129"/>
      <c r="C17" s="212"/>
      <c r="D17" s="283"/>
      <c r="E17" s="314"/>
      <c r="F17" s="217"/>
      <c r="G17" s="218"/>
      <c r="H17" s="219"/>
      <c r="I17" s="332"/>
      <c r="J17" s="333"/>
      <c r="K17" s="196"/>
      <c r="L17" s="274">
        <f>'Ведомость D_d'!P12</f>
        <v>39.703873292367518</v>
      </c>
      <c r="M17" s="197"/>
      <c r="N17" s="539">
        <f t="shared" ref="N17" si="32">INT(P17)</f>
        <v>353</v>
      </c>
      <c r="O17" s="543">
        <f t="shared" ref="O17" si="33">MOD(P17,IF(P17&lt;0,-1,1))*60</f>
        <v>51.355044357721908</v>
      </c>
      <c r="P17" s="541">
        <f t="shared" ref="P17" si="34">IF(P15&lt;180, IF(P15+180-AK33&lt;0,P15+180-AK33+360,P15+180-AK33), IF(P15-180-AK33&lt;0,P15-180-AK33+360,P15-180-AK33))</f>
        <v>353.85591740596203</v>
      </c>
      <c r="Q17" s="537">
        <f t="shared" ref="Q17" si="35">RADIANS(P17)</f>
        <v>6.1759508363991493</v>
      </c>
      <c r="R17" s="537">
        <f t="shared" ref="R17" si="36">SIN(Q17)</f>
        <v>-0.10702906990891296</v>
      </c>
      <c r="S17" s="537">
        <f t="shared" ref="S17" si="37">COS(Q17)</f>
        <v>0.99425589170717665</v>
      </c>
      <c r="T17" s="243"/>
      <c r="U17" s="222"/>
      <c r="V17" s="222"/>
      <c r="W17" s="236"/>
      <c r="X17" s="518">
        <f t="shared" si="2"/>
        <v>39.475809944531626</v>
      </c>
      <c r="Y17" s="518">
        <f t="shared" si="3"/>
        <v>-4.2494686302634257</v>
      </c>
      <c r="Z17" s="513">
        <f t="shared" ref="Z17:AA17" si="38">X17+X43</f>
        <v>39.484198818520845</v>
      </c>
      <c r="AA17" s="545">
        <f t="shared" si="38"/>
        <v>-4.2479513876963662</v>
      </c>
      <c r="AB17" s="547"/>
      <c r="AC17" s="575"/>
      <c r="AD17" s="278"/>
      <c r="AE17" s="482">
        <f t="shared" ref="AE17:AF17" si="39">X43</f>
        <v>8.3888739892217321E-3</v>
      </c>
      <c r="AF17" s="480">
        <f t="shared" si="39"/>
        <v>1.517242567059236E-3</v>
      </c>
      <c r="AH17" s="335"/>
    </row>
    <row r="18" spans="1:38" ht="16.5" customHeight="1" thickBot="1">
      <c r="B18" s="129"/>
      <c r="C18" s="213">
        <v>5</v>
      </c>
      <c r="D18" s="281">
        <f>'Журнал гор. углов'!I23</f>
        <v>131</v>
      </c>
      <c r="E18" s="313">
        <f>'Журнал гор. углов'!J23</f>
        <v>38.999999691314997</v>
      </c>
      <c r="F18" s="215"/>
      <c r="G18" s="216"/>
      <c r="H18" s="216"/>
      <c r="I18" s="330">
        <f t="shared" ref="I18" si="40">INT(DEGREES(AJ35))</f>
        <v>131</v>
      </c>
      <c r="J18" s="331">
        <f t="shared" ref="J18" si="41">MOD(AK35,IF(AK35&lt;0,-1,1))*60</f>
        <v>38.848738833399352</v>
      </c>
      <c r="K18" s="198"/>
      <c r="L18" s="273"/>
      <c r="M18" s="200"/>
      <c r="N18" s="540"/>
      <c r="O18" s="544"/>
      <c r="P18" s="542"/>
      <c r="Q18" s="538"/>
      <c r="R18" s="538"/>
      <c r="S18" s="538"/>
      <c r="T18" s="234"/>
      <c r="U18" s="229"/>
      <c r="V18" s="229"/>
      <c r="W18" s="237"/>
      <c r="X18" s="514"/>
      <c r="Y18" s="514"/>
      <c r="Z18" s="515"/>
      <c r="AA18" s="515"/>
      <c r="AB18" s="546">
        <f t="shared" ref="AB18" si="42">Z17+AB16</f>
        <v>8448.6720606778017</v>
      </c>
      <c r="AC18" s="574">
        <f t="shared" ref="AC18" si="43">AC16+AA17</f>
        <v>1454.48016697925</v>
      </c>
      <c r="AD18" s="277">
        <v>5</v>
      </c>
      <c r="AE18" s="483"/>
      <c r="AF18" s="481"/>
      <c r="AH18" s="335"/>
    </row>
    <row r="19" spans="1:38" ht="16.5" customHeight="1" thickBot="1">
      <c r="B19" s="129"/>
      <c r="C19" s="214"/>
      <c r="D19" s="283"/>
      <c r="E19" s="300"/>
      <c r="F19" s="217"/>
      <c r="G19" s="218"/>
      <c r="H19" s="218"/>
      <c r="I19" s="332"/>
      <c r="J19" s="334"/>
      <c r="K19" s="196"/>
      <c r="L19" s="274"/>
      <c r="M19" s="197"/>
      <c r="N19" s="539">
        <f t="shared" ref="N19" si="44">INT(P19)</f>
        <v>42</v>
      </c>
      <c r="O19" s="543">
        <f t="shared" ref="O19" si="45">MOD(P19,IF(P19&lt;0,-1,1))*60</f>
        <v>12.506305524322556</v>
      </c>
      <c r="P19" s="541">
        <f t="shared" ref="P19" si="46">IF(P17&lt;180, IF(P17+180-AK35&lt;0,P17+180-AK35+360,P17+180-AK35), IF(P17-180-AK35&lt;0,P17-180-AK35+360,P17-180-AK35))</f>
        <v>42.208438425405376</v>
      </c>
      <c r="Q19" s="537"/>
      <c r="R19" s="537"/>
      <c r="S19" s="537"/>
      <c r="T19" s="243"/>
      <c r="U19" s="222"/>
      <c r="V19" s="222"/>
      <c r="W19" s="236"/>
      <c r="X19" s="516"/>
      <c r="Y19" s="519"/>
      <c r="Z19" s="516"/>
      <c r="AA19" s="519"/>
      <c r="AB19" s="547"/>
      <c r="AC19" s="575"/>
      <c r="AD19" s="278"/>
      <c r="AE19" s="142"/>
      <c r="AF19" s="143"/>
    </row>
    <row r="20" spans="1:38" ht="16.5" thickBot="1">
      <c r="B20" s="129"/>
      <c r="C20" s="204">
        <v>1</v>
      </c>
      <c r="D20" s="551"/>
      <c r="E20" s="551"/>
      <c r="F20" s="220"/>
      <c r="G20" s="221"/>
      <c r="H20" s="221"/>
      <c r="I20" s="539"/>
      <c r="J20" s="578"/>
      <c r="K20" s="141"/>
      <c r="L20" s="271"/>
      <c r="M20" s="203"/>
      <c r="N20" s="540"/>
      <c r="O20" s="544"/>
      <c r="P20" s="542"/>
      <c r="Q20" s="538"/>
      <c r="R20" s="538"/>
      <c r="S20" s="538"/>
      <c r="T20" s="244"/>
      <c r="U20" s="225"/>
      <c r="V20" s="225"/>
      <c r="W20" s="275"/>
      <c r="X20" s="517"/>
      <c r="Y20" s="520"/>
      <c r="Z20" s="517"/>
      <c r="AA20" s="520"/>
      <c r="AB20" s="484">
        <f>AB18+Z9</f>
        <v>8491.7860000000019</v>
      </c>
      <c r="AC20" s="486">
        <f>AC18+AA9</f>
        <v>1493.5760000000002</v>
      </c>
      <c r="AD20" s="146">
        <v>1</v>
      </c>
      <c r="AE20" s="143"/>
      <c r="AF20" s="143"/>
    </row>
    <row r="21" spans="1:38" ht="16.5" thickBot="1">
      <c r="B21" s="129"/>
      <c r="C21" s="276"/>
      <c r="D21" s="552"/>
      <c r="E21" s="552"/>
      <c r="F21" s="223"/>
      <c r="G21" s="224"/>
      <c r="H21" s="224"/>
      <c r="I21" s="553"/>
      <c r="J21" s="579"/>
      <c r="K21" s="141"/>
      <c r="L21" s="270"/>
      <c r="M21" s="140"/>
      <c r="N21" s="539"/>
      <c r="O21" s="543"/>
      <c r="P21" s="248"/>
      <c r="Q21" s="537"/>
      <c r="R21" s="231"/>
      <c r="S21" s="231"/>
      <c r="T21" s="243"/>
      <c r="U21" s="222"/>
      <c r="V21" s="222"/>
      <c r="W21" s="222"/>
      <c r="X21" s="232"/>
      <c r="Y21" s="232"/>
      <c r="Z21" s="235"/>
      <c r="AA21" s="238"/>
      <c r="AB21" s="485"/>
      <c r="AC21" s="487"/>
      <c r="AD21" s="202"/>
      <c r="AE21" s="147"/>
      <c r="AF21" s="147"/>
    </row>
    <row r="22" spans="1:38" ht="16.5" thickBot="1">
      <c r="B22" s="129"/>
      <c r="C22" s="534"/>
      <c r="D22" s="220"/>
      <c r="E22" s="220"/>
      <c r="F22" s="220"/>
      <c r="G22" s="226"/>
      <c r="H22" s="226"/>
      <c r="I22" s="222"/>
      <c r="J22" s="222"/>
      <c r="K22" s="141"/>
      <c r="L22" s="148"/>
      <c r="M22" s="148"/>
      <c r="N22" s="540"/>
      <c r="O22" s="544"/>
      <c r="P22" s="249"/>
      <c r="Q22" s="538"/>
      <c r="R22" s="233"/>
      <c r="S22" s="233"/>
      <c r="T22" s="229"/>
      <c r="U22" s="229"/>
      <c r="V22" s="229"/>
      <c r="W22" s="229"/>
      <c r="X22" s="239"/>
      <c r="Y22" s="239"/>
      <c r="Z22" s="240"/>
      <c r="AA22" s="241"/>
      <c r="AB22" s="149"/>
      <c r="AC22" s="149"/>
      <c r="AD22" s="146"/>
    </row>
    <row r="23" spans="1:38" ht="16.5" thickBot="1">
      <c r="B23" s="129"/>
      <c r="C23" s="535"/>
      <c r="D23" s="227"/>
      <c r="E23" s="227"/>
      <c r="F23" s="227"/>
      <c r="G23" s="228"/>
      <c r="H23" s="228"/>
      <c r="I23" s="229"/>
      <c r="J23" s="229"/>
      <c r="K23" s="139"/>
      <c r="L23" s="148"/>
      <c r="M23" s="148"/>
      <c r="N23" s="229"/>
      <c r="O23" s="229"/>
      <c r="P23" s="249"/>
      <c r="Q23" s="233"/>
      <c r="R23" s="233"/>
      <c r="S23" s="233"/>
      <c r="T23" s="229"/>
      <c r="U23" s="229"/>
      <c r="V23" s="229"/>
      <c r="W23" s="229"/>
      <c r="X23" s="284">
        <f>SUM(X9:X19)</f>
        <v>-5.2368189867031845E-2</v>
      </c>
      <c r="Y23" s="284">
        <f>SUM(Y9:Y19)</f>
        <v>-9.4715031991405851E-3</v>
      </c>
      <c r="Z23" s="240"/>
      <c r="AA23" s="242"/>
      <c r="AB23" s="151"/>
      <c r="AC23" s="151"/>
      <c r="AD23" s="150"/>
    </row>
    <row r="24" spans="1:38" ht="15.75">
      <c r="B24" s="129"/>
      <c r="C24" s="152"/>
      <c r="D24" s="153"/>
      <c r="E24" s="154"/>
      <c r="F24" s="153"/>
      <c r="G24" s="153"/>
      <c r="H24" s="153"/>
      <c r="I24" s="155"/>
      <c r="J24" s="155"/>
      <c r="K24" s="155"/>
      <c r="L24" s="156"/>
      <c r="M24" s="156"/>
      <c r="N24" s="155"/>
      <c r="O24" s="155"/>
      <c r="P24" s="250"/>
      <c r="Q24" s="157"/>
      <c r="R24" s="157"/>
      <c r="S24" s="157"/>
      <c r="T24" s="155"/>
      <c r="U24" s="155"/>
      <c r="V24" s="155"/>
      <c r="W24" s="155"/>
      <c r="X24" s="158"/>
      <c r="Y24" s="158"/>
      <c r="Z24" s="158"/>
      <c r="AA24" s="158"/>
      <c r="AB24" s="158"/>
      <c r="AC24" s="158"/>
    </row>
    <row r="25" spans="1:38" ht="15.75">
      <c r="A25" s="159"/>
      <c r="B25" s="160" t="s">
        <v>105</v>
      </c>
      <c r="C25" s="161" t="s">
        <v>106</v>
      </c>
      <c r="D25" s="312">
        <f>AF28</f>
        <v>540</v>
      </c>
      <c r="E25" s="309">
        <f>AG28</f>
        <v>0.74999876524771025</v>
      </c>
      <c r="F25" s="163"/>
      <c r="G25" s="164"/>
      <c r="H25" s="165"/>
      <c r="I25" s="155"/>
      <c r="J25" s="161" t="s">
        <v>107</v>
      </c>
      <c r="L25" s="308">
        <f>SUM(L9:L17)</f>
        <v>247.85447697780646</v>
      </c>
      <c r="M25" s="166"/>
      <c r="N25" s="167"/>
      <c r="O25" s="155"/>
      <c r="P25" s="250"/>
      <c r="Q25" s="157"/>
      <c r="R25" s="157"/>
      <c r="S25" s="157"/>
      <c r="T25" s="155"/>
      <c r="U25" s="155"/>
      <c r="V25" s="155"/>
      <c r="W25" s="168" t="s">
        <v>108</v>
      </c>
      <c r="X25" s="169"/>
      <c r="Y25" s="169"/>
      <c r="Z25" s="158"/>
      <c r="AA25" s="158"/>
      <c r="AC25" s="158"/>
    </row>
    <row r="26" spans="1:38" ht="15.75">
      <c r="A26" s="159"/>
      <c r="B26" s="160" t="s">
        <v>105</v>
      </c>
      <c r="C26" s="161" t="s">
        <v>109</v>
      </c>
      <c r="D26" s="312">
        <v>540</v>
      </c>
      <c r="E26" s="309"/>
      <c r="F26" s="163"/>
      <c r="G26" s="163"/>
      <c r="H26" s="170"/>
      <c r="I26" s="155"/>
      <c r="J26" s="155"/>
      <c r="K26" s="155"/>
      <c r="L26" s="156"/>
      <c r="M26" s="156"/>
      <c r="N26" s="155"/>
      <c r="O26" s="171"/>
      <c r="P26" s="250"/>
      <c r="Q26" s="157"/>
      <c r="R26" s="157"/>
      <c r="S26" s="157"/>
      <c r="T26" s="155"/>
      <c r="U26" s="155"/>
      <c r="V26" s="155"/>
      <c r="W26" s="172" t="s">
        <v>110</v>
      </c>
      <c r="X26" s="169"/>
      <c r="Y26" s="158"/>
      <c r="Z26" s="158"/>
      <c r="AA26" s="158"/>
      <c r="AB26" s="549" t="s">
        <v>50</v>
      </c>
      <c r="AC26" s="158"/>
      <c r="AD26" s="488" t="s">
        <v>57</v>
      </c>
      <c r="AE26" s="489"/>
      <c r="AF26" s="489"/>
      <c r="AG26" s="490"/>
      <c r="AI26" s="488" t="s">
        <v>122</v>
      </c>
      <c r="AJ26" s="489"/>
      <c r="AK26" s="489"/>
      <c r="AL26" s="77" t="s">
        <v>36</v>
      </c>
    </row>
    <row r="27" spans="1:38" ht="15.75">
      <c r="A27" s="159"/>
      <c r="B27" s="173"/>
      <c r="C27" s="174" t="s">
        <v>116</v>
      </c>
      <c r="D27" s="208"/>
      <c r="E27" s="310">
        <f>AG28</f>
        <v>0.74999876524771025</v>
      </c>
      <c r="F27" s="163"/>
      <c r="G27" s="164"/>
      <c r="H27" s="170"/>
      <c r="I27" s="167"/>
      <c r="J27" s="155"/>
      <c r="K27" s="155"/>
      <c r="L27" s="156"/>
      <c r="M27" s="156"/>
      <c r="N27" s="155"/>
      <c r="O27" s="155"/>
      <c r="P27" s="250"/>
      <c r="Q27" s="175"/>
      <c r="R27" s="157"/>
      <c r="S27" s="157"/>
      <c r="T27" s="155"/>
      <c r="U27" s="155"/>
      <c r="V27" s="155"/>
      <c r="W27" s="172" t="s">
        <v>111</v>
      </c>
      <c r="X27" s="176" t="s">
        <v>112</v>
      </c>
      <c r="Y27" s="177">
        <f>L25/X32</f>
        <v>4657.3584392559869</v>
      </c>
      <c r="Z27" s="158"/>
      <c r="AA27" s="158"/>
      <c r="AB27" s="550"/>
      <c r="AC27" s="158"/>
      <c r="AD27" s="72" t="s">
        <v>58</v>
      </c>
      <c r="AE27" s="73" t="s">
        <v>55</v>
      </c>
      <c r="AF27" s="69" t="s">
        <v>59</v>
      </c>
      <c r="AG27" s="70" t="s">
        <v>36</v>
      </c>
      <c r="AI27" s="554">
        <v>1</v>
      </c>
      <c r="AJ27" s="555">
        <f>AB28+$AF$33</f>
        <v>1.5153381229542831</v>
      </c>
      <c r="AK27" s="557">
        <f>DEGREES(AJ27)</f>
        <v>86.822478980556639</v>
      </c>
      <c r="AL27" s="559">
        <f>MOD(AK27,IF(AK27&lt;0,-1,1))</f>
        <v>0.82247898055663882</v>
      </c>
    </row>
    <row r="28" spans="1:38" ht="15.75">
      <c r="A28" s="159"/>
      <c r="B28" s="173"/>
      <c r="C28" s="174" t="s">
        <v>113</v>
      </c>
      <c r="D28" s="207"/>
      <c r="E28" s="311">
        <f>SQRT(5)</f>
        <v>2.2360679774997898</v>
      </c>
      <c r="F28" s="162"/>
      <c r="G28" s="162"/>
      <c r="H28" s="178"/>
      <c r="I28" s="155"/>
      <c r="J28" s="155"/>
      <c r="K28" s="155"/>
      <c r="L28" s="179"/>
      <c r="M28" s="156"/>
      <c r="N28" s="155"/>
      <c r="O28" s="155"/>
      <c r="P28" s="250"/>
      <c r="Q28" s="157"/>
      <c r="R28" s="157"/>
      <c r="S28" s="157"/>
      <c r="T28" s="155"/>
      <c r="U28" s="155"/>
      <c r="V28" s="155"/>
      <c r="W28" s="180" t="s">
        <v>114</v>
      </c>
      <c r="X28" s="176" t="s">
        <v>112</v>
      </c>
      <c r="Y28" s="181">
        <v>1000</v>
      </c>
      <c r="Z28" s="158"/>
      <c r="AA28" s="158"/>
      <c r="AB28" s="536">
        <f>RADIANS(D10+E10/60)</f>
        <v>1.515382122954283</v>
      </c>
      <c r="AC28" s="158"/>
      <c r="AD28" s="71">
        <f>SUM(AB28:AB37)</f>
        <v>9.4249961265667039</v>
      </c>
      <c r="AE28" s="30">
        <f>DEGREES(AD28)</f>
        <v>540.0124999794208</v>
      </c>
      <c r="AF28" s="30">
        <f>INT(AE28)</f>
        <v>540</v>
      </c>
      <c r="AG28" s="67">
        <f>MOD(AE28,IF(AE28&lt;0,-1,1))*60</f>
        <v>0.74999876524771025</v>
      </c>
      <c r="AI28" s="554"/>
      <c r="AJ28" s="556"/>
      <c r="AK28" s="557"/>
      <c r="AL28" s="559"/>
    </row>
    <row r="29" spans="1:38" ht="15.75">
      <c r="B29" s="173"/>
      <c r="C29" s="182"/>
      <c r="D29" s="183"/>
      <c r="E29" s="183"/>
      <c r="F29" s="183"/>
      <c r="G29" s="184"/>
      <c r="H29" s="153"/>
      <c r="I29" s="155"/>
      <c r="J29" s="155"/>
      <c r="K29" s="155"/>
      <c r="L29" s="156"/>
      <c r="M29" s="156"/>
      <c r="N29" s="155"/>
      <c r="O29" s="155"/>
      <c r="P29" s="250"/>
      <c r="Q29" s="157"/>
      <c r="R29" s="157"/>
      <c r="S29" s="157"/>
      <c r="T29" s="155"/>
      <c r="U29" s="155"/>
      <c r="V29" s="155"/>
      <c r="W29" s="155"/>
      <c r="X29" s="158"/>
      <c r="Y29" s="158"/>
      <c r="Z29" s="158"/>
      <c r="AA29" s="158"/>
      <c r="AB29" s="536"/>
      <c r="AC29" s="158"/>
      <c r="AI29" s="558">
        <v>2</v>
      </c>
      <c r="AJ29" s="555">
        <f t="shared" ref="AJ29" si="47">AB30+$AF$33</f>
        <v>2.0396641191640397</v>
      </c>
      <c r="AK29" s="557">
        <f t="shared" ref="AK29" si="48">DEGREES(AJ29)</f>
        <v>116.86414565236808</v>
      </c>
      <c r="AL29" s="559">
        <f t="shared" ref="AL29" si="49">MOD(AK29,IF(AK29&lt;0,-1,1))</f>
        <v>0.86414565236808016</v>
      </c>
    </row>
    <row r="30" spans="1:38">
      <c r="B30" s="129"/>
      <c r="C30" s="129"/>
      <c r="Q30" s="125"/>
      <c r="R30" s="125"/>
      <c r="S30" s="125"/>
      <c r="AB30" s="536">
        <f t="shared" ref="AB30" si="50">RADIANS(D12+E12/60)</f>
        <v>2.0397081191640396</v>
      </c>
      <c r="AD30" s="491" t="s">
        <v>115</v>
      </c>
      <c r="AE30" s="492"/>
      <c r="AF30" s="493"/>
      <c r="AI30" s="558"/>
      <c r="AJ30" s="556"/>
      <c r="AK30" s="557"/>
      <c r="AL30" s="559"/>
    </row>
    <row r="31" spans="1:38">
      <c r="B31" s="129"/>
      <c r="C31" s="32"/>
      <c r="D31" s="62"/>
      <c r="E31" s="62"/>
      <c r="F31" s="62"/>
      <c r="G31" s="32"/>
      <c r="H31" s="32"/>
      <c r="I31" s="32"/>
      <c r="J31" s="32"/>
      <c r="K31" s="32"/>
      <c r="L31" s="32"/>
      <c r="M31" s="32"/>
      <c r="N31" s="32"/>
      <c r="Q31" s="125"/>
      <c r="R31" s="125"/>
      <c r="S31" s="125"/>
      <c r="X31" s="245" t="s">
        <v>120</v>
      </c>
      <c r="Y31" s="245" t="s">
        <v>121</v>
      </c>
      <c r="AB31" s="536"/>
      <c r="AD31" s="494"/>
      <c r="AE31" s="495"/>
      <c r="AF31" s="496"/>
      <c r="AI31" s="558">
        <v>3</v>
      </c>
      <c r="AJ31" s="555">
        <f t="shared" ref="AJ31" si="51">AB32+$AF$33</f>
        <v>2.0318101374402717</v>
      </c>
      <c r="AK31" s="557">
        <f t="shared" ref="AK31" si="52">DEGREES(AJ31)</f>
        <v>116.41414564722329</v>
      </c>
      <c r="AL31" s="559">
        <f t="shared" ref="AL31" si="53">MOD(AK31,IF(AK31&lt;0,-1,1))</f>
        <v>0.41414564722329317</v>
      </c>
    </row>
    <row r="32" spans="1:38">
      <c r="C32" s="32"/>
      <c r="D32" s="62"/>
      <c r="E32" s="62"/>
      <c r="F32" s="62"/>
      <c r="G32" s="32"/>
      <c r="H32" s="32"/>
      <c r="I32" s="32"/>
      <c r="J32" s="32"/>
      <c r="K32" s="32"/>
      <c r="L32" s="32"/>
      <c r="M32" s="32"/>
      <c r="N32" s="32"/>
      <c r="Q32" s="125"/>
      <c r="R32" s="125"/>
      <c r="S32" s="125"/>
      <c r="X32">
        <f>SQRT(POWER(X23,2)+POWER(Y23,2))</f>
        <v>5.3217822980659656E-2</v>
      </c>
      <c r="Y32">
        <f>X32/L25</f>
        <v>2.1471398713296158E-4</v>
      </c>
      <c r="AB32" s="536">
        <f t="shared" ref="AB32" si="54">RADIANS(D14+E14/60)</f>
        <v>2.0318541374402717</v>
      </c>
      <c r="AD32" s="68" t="s">
        <v>36</v>
      </c>
      <c r="AE32" s="69" t="s">
        <v>59</v>
      </c>
      <c r="AF32" s="70" t="s">
        <v>58</v>
      </c>
      <c r="AI32" s="558"/>
      <c r="AJ32" s="556"/>
      <c r="AK32" s="557"/>
      <c r="AL32" s="559"/>
    </row>
    <row r="33" spans="3:38">
      <c r="C33" s="32"/>
      <c r="D33" s="62"/>
      <c r="E33" s="62"/>
      <c r="F33" s="62"/>
      <c r="G33" s="32" t="s">
        <v>76</v>
      </c>
      <c r="H33" s="32"/>
      <c r="I33" s="32"/>
      <c r="J33" s="32"/>
      <c r="K33" s="32"/>
      <c r="L33" s="32"/>
      <c r="M33" s="32"/>
      <c r="N33" s="32"/>
      <c r="Q33" s="125"/>
      <c r="R33" s="125"/>
      <c r="S33" s="125"/>
      <c r="AB33" s="536"/>
      <c r="AD33" s="71">
        <f>ROUND(-(AG28/COUNT(C10:C19)),2)</f>
        <v>-0.15</v>
      </c>
      <c r="AE33" s="30">
        <f>AD33/60</f>
        <v>-2.5000000000000001E-3</v>
      </c>
      <c r="AF33" s="206">
        <f>ROUND(RADIANS(AE33),6)</f>
        <v>-4.3999999999999999E-5</v>
      </c>
      <c r="AI33" s="558">
        <v>4</v>
      </c>
      <c r="AJ33" s="555">
        <f t="shared" ref="AJ33" si="55">AB34+$AF$33</f>
        <v>1.5402817868473684</v>
      </c>
      <c r="AK33" s="557">
        <f t="shared" ref="AK33" si="56">DEGREES(AJ33)</f>
        <v>88.251645647223285</v>
      </c>
      <c r="AL33" s="559">
        <f t="shared" ref="AL33" si="57">MOD(AK33,IF(AK33&lt;0,-1,1))</f>
        <v>0.25164564722328464</v>
      </c>
    </row>
    <row r="34" spans="3:38">
      <c r="C34" s="32"/>
      <c r="D34" s="62"/>
      <c r="E34" s="62"/>
      <c r="F34" s="62"/>
      <c r="G34" s="32" t="s">
        <v>77</v>
      </c>
      <c r="H34" s="32"/>
      <c r="I34" s="32"/>
      <c r="J34" s="32"/>
      <c r="K34" s="32"/>
      <c r="L34" s="32"/>
      <c r="M34" s="32"/>
      <c r="N34" s="32"/>
      <c r="Q34" s="125"/>
      <c r="R34" s="125"/>
      <c r="S34" s="125"/>
      <c r="X34" s="423" t="s">
        <v>123</v>
      </c>
      <c r="Y34" s="423"/>
      <c r="AB34" s="536">
        <f t="shared" ref="AB34" si="58">RADIANS(D16+E16/60)</f>
        <v>1.5403257868473683</v>
      </c>
      <c r="AI34" s="558"/>
      <c r="AJ34" s="556"/>
      <c r="AK34" s="557"/>
      <c r="AL34" s="559"/>
    </row>
    <row r="35" spans="3:38">
      <c r="C35" s="32"/>
      <c r="D35" s="62"/>
      <c r="E35" s="62"/>
      <c r="F35" s="62"/>
      <c r="G35" s="32" t="s">
        <v>78</v>
      </c>
      <c r="H35" s="32"/>
      <c r="I35" s="32"/>
      <c r="J35" s="32"/>
      <c r="K35" s="32"/>
      <c r="L35" s="32"/>
      <c r="M35" s="32"/>
      <c r="N35" s="32"/>
      <c r="Q35" s="125"/>
      <c r="R35" s="125"/>
      <c r="S35" s="125"/>
      <c r="X35" s="335">
        <f>($X$23/$L$25)*L9*(-1)</f>
        <v>1.2294708928327387E-2</v>
      </c>
      <c r="Y35" s="335">
        <f>($Y$23/$L$25)*L9*(-1)</f>
        <v>2.2236662226216325E-3</v>
      </c>
      <c r="AB35" s="536"/>
      <c r="AI35" s="558">
        <v>5</v>
      </c>
      <c r="AJ35" s="555">
        <f t="shared" ref="AJ35" si="59">AB36+$AF$33</f>
        <v>2.2976819601607419</v>
      </c>
      <c r="AK35" s="557">
        <f t="shared" ref="AK35" si="60">DEGREES(AJ35)</f>
        <v>131.64747898055666</v>
      </c>
      <c r="AL35" s="559">
        <f t="shared" ref="AL35" si="61">MOD(AK35,IF(AK35&lt;0,-1,1))</f>
        <v>0.64747898055665587</v>
      </c>
    </row>
    <row r="36" spans="3:38">
      <c r="C36" s="209"/>
      <c r="X36" s="335"/>
      <c r="Y36" s="335"/>
      <c r="AB36" s="536">
        <f t="shared" ref="AB36" si="62">RADIANS(D18+E18/60)</f>
        <v>2.2977259601607418</v>
      </c>
      <c r="AI36" s="560"/>
      <c r="AJ36" s="556"/>
      <c r="AK36" s="561"/>
      <c r="AL36" s="562"/>
    </row>
    <row r="37" spans="3:38">
      <c r="C37" s="209"/>
      <c r="X37" s="335">
        <f t="shared" ref="X37" si="63">($X$23/$L$25)*L11*(-1)</f>
        <v>1.0808001881834291E-2</v>
      </c>
      <c r="Y37" s="335">
        <f t="shared" ref="Y37" si="64">($Y$23/$L$25)*L11*(-1)</f>
        <v>1.9547749246256888E-3</v>
      </c>
      <c r="AB37" s="548"/>
      <c r="AJ37">
        <v>0</v>
      </c>
      <c r="AK37" s="74">
        <v>0</v>
      </c>
      <c r="AL37" s="75">
        <f>SUM(AL27:AL36)</f>
        <v>2.9998949079279527</v>
      </c>
    </row>
    <row r="38" spans="3:38">
      <c r="X38" s="335"/>
      <c r="Y38" s="335"/>
      <c r="AB38">
        <v>0</v>
      </c>
      <c r="AK38" s="68" t="s">
        <v>59</v>
      </c>
      <c r="AL38" s="66">
        <f>INT(AL37)</f>
        <v>2</v>
      </c>
    </row>
    <row r="39" spans="3:38">
      <c r="X39" s="335">
        <f t="shared" ref="X39" si="65">($X$23/$L$25)*L13*(-1)</f>
        <v>8.5069250285442054E-3</v>
      </c>
      <c r="Y39" s="335">
        <f t="shared" ref="Y39" si="66">($Y$23/$L$25)*L13*(-1)</f>
        <v>1.5385937117034126E-3</v>
      </c>
      <c r="AK39" s="76" t="s">
        <v>36</v>
      </c>
      <c r="AL39" s="67">
        <f>MOD(AL37,IF(AL37&lt;0,-1,1))*60</f>
        <v>59.99369447567716</v>
      </c>
    </row>
    <row r="40" spans="3:38">
      <c r="X40" s="335"/>
      <c r="Y40" s="335"/>
    </row>
    <row r="41" spans="3:38">
      <c r="X41" s="335">
        <f t="shared" ref="X41" si="67">($X$23/$L$25)*L15*(-1)</f>
        <v>1.2369680039104236E-2</v>
      </c>
      <c r="Y41" s="335">
        <f t="shared" ref="Y41" si="68">($Y$23/$L$25)*L15*(-1)</f>
        <v>2.2372257731306162E-3</v>
      </c>
    </row>
    <row r="42" spans="3:38">
      <c r="X42" s="335"/>
      <c r="Y42" s="335"/>
    </row>
    <row r="43" spans="3:38">
      <c r="X43" s="335">
        <f t="shared" ref="X43" si="69">($X$23/$L$25)*L17*(-1)</f>
        <v>8.3888739892217321E-3</v>
      </c>
      <c r="Y43" s="335">
        <f t="shared" ref="Y43" si="70">($Y$23/$L$25)*L17*(-1)</f>
        <v>1.517242567059236E-3</v>
      </c>
    </row>
    <row r="44" spans="3:38">
      <c r="X44" s="335"/>
      <c r="Y44" s="335"/>
    </row>
    <row r="45" spans="3:38">
      <c r="S45" s="245" t="s">
        <v>72</v>
      </c>
      <c r="X45" s="270">
        <f>SUM(X35:X43)</f>
        <v>5.2368189867031852E-2</v>
      </c>
      <c r="Y45" s="270">
        <f>SUM(Y35:Y43)</f>
        <v>9.4715031991405869E-3</v>
      </c>
    </row>
  </sheetData>
  <mergeCells count="160">
    <mergeCell ref="I8:I9"/>
    <mergeCell ref="J8:J9"/>
    <mergeCell ref="E8:E9"/>
    <mergeCell ref="J20:J21"/>
    <mergeCell ref="O21:O22"/>
    <mergeCell ref="R15:R16"/>
    <mergeCell ref="R17:R18"/>
    <mergeCell ref="R19:R20"/>
    <mergeCell ref="S9:S10"/>
    <mergeCell ref="S11:S12"/>
    <mergeCell ref="S13:S14"/>
    <mergeCell ref="S15:S16"/>
    <mergeCell ref="S17:S18"/>
    <mergeCell ref="S19:S20"/>
    <mergeCell ref="AH15:AH16"/>
    <mergeCell ref="AH17:AH18"/>
    <mergeCell ref="P9:P10"/>
    <mergeCell ref="P11:P12"/>
    <mergeCell ref="P13:P14"/>
    <mergeCell ref="P15:P16"/>
    <mergeCell ref="P17:P18"/>
    <mergeCell ref="R9:R10"/>
    <mergeCell ref="R11:R12"/>
    <mergeCell ref="R13:R14"/>
    <mergeCell ref="AH9:AH10"/>
    <mergeCell ref="AA13:AA14"/>
    <mergeCell ref="AA15:AA16"/>
    <mergeCell ref="AB10:AB11"/>
    <mergeCell ref="AC10:AC11"/>
    <mergeCell ref="AB12:AB13"/>
    <mergeCell ref="AC12:AC13"/>
    <mergeCell ref="AB14:AB15"/>
    <mergeCell ref="AC14:AC15"/>
    <mergeCell ref="AC16:AC17"/>
    <mergeCell ref="AC18:AC19"/>
    <mergeCell ref="AE9:AE10"/>
    <mergeCell ref="AF9:AF10"/>
    <mergeCell ref="AE11:AE12"/>
    <mergeCell ref="AH7:AH8"/>
    <mergeCell ref="AH11:AH12"/>
    <mergeCell ref="AH13:AH14"/>
    <mergeCell ref="N13:N14"/>
    <mergeCell ref="N15:N16"/>
    <mergeCell ref="N17:N18"/>
    <mergeCell ref="Q13:Q14"/>
    <mergeCell ref="Q15:Q16"/>
    <mergeCell ref="Q17:Q18"/>
    <mergeCell ref="O13:O14"/>
    <mergeCell ref="O15:O16"/>
    <mergeCell ref="O17:O18"/>
    <mergeCell ref="N9:N10"/>
    <mergeCell ref="O9:O10"/>
    <mergeCell ref="Q9:Q10"/>
    <mergeCell ref="N11:N12"/>
    <mergeCell ref="O11:O12"/>
    <mergeCell ref="Q11:Q12"/>
    <mergeCell ref="AD5:AD7"/>
    <mergeCell ref="AE5:AF6"/>
    <mergeCell ref="X5:AA5"/>
    <mergeCell ref="AB5:AC6"/>
    <mergeCell ref="AA9:AA10"/>
    <mergeCell ref="AA11:AA12"/>
    <mergeCell ref="AI26:AK26"/>
    <mergeCell ref="AI27:AI28"/>
    <mergeCell ref="AJ27:AJ28"/>
    <mergeCell ref="AK27:AK28"/>
    <mergeCell ref="AI33:AI34"/>
    <mergeCell ref="AJ33:AJ34"/>
    <mergeCell ref="AK33:AK34"/>
    <mergeCell ref="AL33:AL34"/>
    <mergeCell ref="AI35:AI36"/>
    <mergeCell ref="AJ35:AJ36"/>
    <mergeCell ref="AK35:AK36"/>
    <mergeCell ref="AL35:AL36"/>
    <mergeCell ref="AL27:AL28"/>
    <mergeCell ref="AI29:AI30"/>
    <mergeCell ref="AJ29:AJ30"/>
    <mergeCell ref="AK29:AK30"/>
    <mergeCell ref="AL29:AL30"/>
    <mergeCell ref="AI31:AI32"/>
    <mergeCell ref="AJ31:AJ32"/>
    <mergeCell ref="AK31:AK32"/>
    <mergeCell ref="AL31:AL32"/>
    <mergeCell ref="D8:D9"/>
    <mergeCell ref="C22:C23"/>
    <mergeCell ref="AB28:AB29"/>
    <mergeCell ref="AB30:AB31"/>
    <mergeCell ref="AB32:AB33"/>
    <mergeCell ref="AB34:AB35"/>
    <mergeCell ref="Q19:Q20"/>
    <mergeCell ref="N21:N22"/>
    <mergeCell ref="Q21:Q22"/>
    <mergeCell ref="P19:P20"/>
    <mergeCell ref="N19:N20"/>
    <mergeCell ref="O19:O20"/>
    <mergeCell ref="X19:X20"/>
    <mergeCell ref="AA17:AA18"/>
    <mergeCell ref="AA19:AA20"/>
    <mergeCell ref="X35:X36"/>
    <mergeCell ref="AB16:AB17"/>
    <mergeCell ref="AB18:AB19"/>
    <mergeCell ref="AB36:AB37"/>
    <mergeCell ref="AB26:AB27"/>
    <mergeCell ref="D20:D21"/>
    <mergeCell ref="X37:X38"/>
    <mergeCell ref="E20:E21"/>
    <mergeCell ref="I20:I21"/>
    <mergeCell ref="D6:G6"/>
    <mergeCell ref="H6:K6"/>
    <mergeCell ref="T6:T7"/>
    <mergeCell ref="U6:U7"/>
    <mergeCell ref="V6:V7"/>
    <mergeCell ref="W6:W7"/>
    <mergeCell ref="Q5:Q7"/>
    <mergeCell ref="R5:R7"/>
    <mergeCell ref="S5:S7"/>
    <mergeCell ref="T5:W5"/>
    <mergeCell ref="D3:E3"/>
    <mergeCell ref="C5:C7"/>
    <mergeCell ref="D5:K5"/>
    <mergeCell ref="L5:L7"/>
    <mergeCell ref="M5:M7"/>
    <mergeCell ref="N5:P6"/>
    <mergeCell ref="X34:Y34"/>
    <mergeCell ref="X9:X10"/>
    <mergeCell ref="Z9:Z10"/>
    <mergeCell ref="X11:X12"/>
    <mergeCell ref="Y9:Y10"/>
    <mergeCell ref="Y11:Y12"/>
    <mergeCell ref="X13:X14"/>
    <mergeCell ref="Y13:Y14"/>
    <mergeCell ref="X15:X16"/>
    <mergeCell ref="Y15:Y16"/>
    <mergeCell ref="X17:X18"/>
    <mergeCell ref="Y17:Y18"/>
    <mergeCell ref="Z11:Z12"/>
    <mergeCell ref="Z13:Z14"/>
    <mergeCell ref="Z15:Z16"/>
    <mergeCell ref="Z17:Z18"/>
    <mergeCell ref="Z19:Z20"/>
    <mergeCell ref="Y19:Y20"/>
    <mergeCell ref="X39:X40"/>
    <mergeCell ref="X41:X42"/>
    <mergeCell ref="Y41:Y42"/>
    <mergeCell ref="X43:X44"/>
    <mergeCell ref="Y43:Y44"/>
    <mergeCell ref="Y39:Y40"/>
    <mergeCell ref="Y37:Y38"/>
    <mergeCell ref="Y35:Y36"/>
    <mergeCell ref="AF11:AF12"/>
    <mergeCell ref="AE13:AE14"/>
    <mergeCell ref="AF13:AF14"/>
    <mergeCell ref="AE15:AE16"/>
    <mergeCell ref="AF15:AF16"/>
    <mergeCell ref="AE17:AE18"/>
    <mergeCell ref="AF17:AF18"/>
    <mergeCell ref="AB20:AB21"/>
    <mergeCell ref="AC20:AC21"/>
    <mergeCell ref="AD26:AG26"/>
    <mergeCell ref="AD30:AF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Журнал гор. углов</vt:lpstr>
      <vt:lpstr>Журнал верт. углов</vt:lpstr>
      <vt:lpstr>Ведомость D_d</vt:lpstr>
      <vt:lpstr>Ведомость H</vt:lpstr>
      <vt:lpstr>Ведомость 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ПАРАМОНОВ СЕРГЕЙ СЕРГЕЕВИЧ</dc:creator>
  <cp:lastModifiedBy>Virge</cp:lastModifiedBy>
  <dcterms:created xsi:type="dcterms:W3CDTF">2020-06-04T20:25:04Z</dcterms:created>
  <dcterms:modified xsi:type="dcterms:W3CDTF">2023-03-26T14:23:45Z</dcterms:modified>
</cp:coreProperties>
</file>