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/>
  <xr:revisionPtr revIDLastSave="1" documentId="13_ncr:1_{82CD3C62-52DC-4068-B83E-52E84C981E39}" xr6:coauthVersionLast="45" xr6:coauthVersionMax="45" xr10:uidLastSave="{EF2D243A-77EF-4BDA-B24C-7862B22D436C}"/>
  <bookViews>
    <workbookView xWindow="-120" yWindow="-120" windowWidth="29040" windowHeight="15840" tabRatio="696" xr2:uid="{00000000-000D-0000-FFFF-FFFF00000000}"/>
  </bookViews>
  <sheets>
    <sheet name="Data" sheetId="3" r:id="rId1"/>
    <sheet name="SAS01" sheetId="8" r:id="rId2"/>
    <sheet name="Production info" sheetId="15" r:id="rId3"/>
    <sheet name="Лист1" sheetId="16" r:id="rId4"/>
  </sheets>
  <definedNames>
    <definedName name="_28t">Data!#REF!</definedName>
    <definedName name="_xlnm._FilterDatabase" localSheetId="0" hidden="1">Data!$A$3:$DE$7</definedName>
    <definedName name="_xlnm._FilterDatabase" localSheetId="2" hidden="1">'Production info'!$A$1:$Y$56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7" i="3" l="1"/>
  <c r="AJ7" i="3"/>
  <c r="AL7" i="3"/>
  <c r="AN7" i="3"/>
  <c r="AF7" i="3" l="1"/>
  <c r="C21" i="16" l="1"/>
  <c r="C22" i="16"/>
  <c r="C23" i="16"/>
  <c r="C24" i="16"/>
  <c r="C25" i="16"/>
  <c r="C26" i="16"/>
  <c r="C27" i="16"/>
  <c r="C28" i="16"/>
  <c r="C29" i="16"/>
  <c r="C30" i="16"/>
  <c r="C20" i="16"/>
  <c r="F6" i="3" l="1"/>
  <c r="F7" i="3"/>
  <c r="F5" i="3"/>
  <c r="A7" i="3"/>
  <c r="A6" i="3"/>
  <c r="A5" i="3"/>
  <c r="P3" i="16" l="1"/>
  <c r="P4" i="16"/>
  <c r="P5" i="16"/>
  <c r="P6" i="16"/>
  <c r="P7" i="16"/>
  <c r="P8" i="16"/>
  <c r="P9" i="16"/>
  <c r="P2" i="16"/>
  <c r="P15" i="16" s="1"/>
  <c r="K3" i="16"/>
  <c r="K4" i="16"/>
  <c r="K5" i="16"/>
  <c r="K6" i="16"/>
  <c r="K7" i="16"/>
  <c r="K8" i="16"/>
  <c r="K9" i="16"/>
  <c r="K2" i="16"/>
  <c r="K15" i="16" s="1"/>
  <c r="F3" i="16"/>
  <c r="F4" i="16"/>
  <c r="F5" i="16"/>
  <c r="F6" i="16"/>
  <c r="F7" i="16"/>
  <c r="F8" i="16"/>
  <c r="F9" i="16"/>
  <c r="F2" i="16"/>
  <c r="F15" i="16" l="1"/>
  <c r="O10" i="16"/>
  <c r="O11" i="16"/>
  <c r="O12" i="16"/>
  <c r="O13" i="16"/>
  <c r="O9" i="16"/>
  <c r="O3" i="16"/>
  <c r="O4" i="16"/>
  <c r="O5" i="16"/>
  <c r="O6" i="16"/>
  <c r="O7" i="16"/>
  <c r="O8" i="16"/>
  <c r="O2" i="16"/>
  <c r="J10" i="16"/>
  <c r="J11" i="16"/>
  <c r="J12" i="16"/>
  <c r="J13" i="16"/>
  <c r="J9" i="16"/>
  <c r="J3" i="16"/>
  <c r="J4" i="16"/>
  <c r="J5" i="16"/>
  <c r="J6" i="16"/>
  <c r="J7" i="16"/>
  <c r="J8" i="16"/>
  <c r="J2" i="16"/>
  <c r="E10" i="16"/>
  <c r="E11" i="16"/>
  <c r="E12" i="16"/>
  <c r="E13" i="16"/>
  <c r="E9" i="16"/>
  <c r="E3" i="16"/>
  <c r="E4" i="16"/>
  <c r="E5" i="16"/>
  <c r="E6" i="16"/>
  <c r="E7" i="16"/>
  <c r="E8" i="16"/>
  <c r="E2" i="16"/>
  <c r="S5" i="8" l="1"/>
  <c r="S6" i="8"/>
  <c r="S7" i="8"/>
  <c r="S8" i="8"/>
  <c r="S9" i="8"/>
  <c r="S10" i="8"/>
  <c r="S11" i="8"/>
  <c r="S12" i="8"/>
  <c r="S13" i="8"/>
  <c r="S14" i="8"/>
  <c r="S15" i="8"/>
  <c r="S4" i="8"/>
  <c r="U119" i="15" l="1"/>
  <c r="V119" i="15" s="1"/>
  <c r="R119" i="15"/>
  <c r="U118" i="15"/>
  <c r="V118" i="15" s="1"/>
  <c r="R118" i="15"/>
  <c r="U117" i="15"/>
  <c r="V117" i="15" s="1"/>
  <c r="R117" i="15"/>
  <c r="U116" i="15"/>
  <c r="V116" i="15" s="1"/>
  <c r="R116" i="15"/>
  <c r="U115" i="15"/>
  <c r="V115" i="15" s="1"/>
  <c r="R115" i="15"/>
  <c r="U114" i="15"/>
  <c r="V114" i="15" s="1"/>
  <c r="R114" i="15"/>
  <c r="U113" i="15"/>
  <c r="V113" i="15" s="1"/>
  <c r="R113" i="15"/>
  <c r="U112" i="15"/>
  <c r="V112" i="15" s="1"/>
  <c r="R112" i="15"/>
  <c r="V111" i="15"/>
  <c r="R111" i="15"/>
  <c r="V110" i="15"/>
  <c r="R110" i="15"/>
  <c r="V109" i="15"/>
  <c r="R109" i="15"/>
  <c r="V108" i="15"/>
  <c r="R108" i="15"/>
  <c r="V107" i="15"/>
  <c r="R107" i="15"/>
  <c r="V106" i="15"/>
  <c r="R106" i="15"/>
  <c r="V105" i="15"/>
  <c r="R105" i="15"/>
  <c r="V104" i="15"/>
  <c r="R104" i="15"/>
  <c r="V103" i="15"/>
  <c r="R103" i="15"/>
  <c r="V102" i="15"/>
  <c r="R102" i="15"/>
  <c r="V101" i="15"/>
  <c r="R101" i="15"/>
  <c r="V100" i="15"/>
  <c r="R100" i="15"/>
  <c r="V99" i="15"/>
  <c r="R99" i="15"/>
  <c r="V95" i="15"/>
  <c r="V94" i="15"/>
  <c r="V93" i="15"/>
  <c r="V92" i="15"/>
  <c r="V91" i="15"/>
  <c r="V90" i="15"/>
  <c r="V89" i="15"/>
  <c r="V88" i="15"/>
  <c r="V87" i="15"/>
  <c r="V86" i="15"/>
  <c r="V85" i="15"/>
  <c r="L84" i="15"/>
  <c r="V84" i="15" s="1"/>
  <c r="V83" i="15"/>
  <c r="V82" i="15"/>
  <c r="V81" i="15"/>
  <c r="V80" i="15"/>
  <c r="V79" i="15"/>
  <c r="V78" i="15"/>
  <c r="V77" i="15"/>
  <c r="R77" i="15"/>
  <c r="V76" i="15"/>
  <c r="V75" i="15"/>
  <c r="V74" i="15"/>
  <c r="V73" i="15"/>
  <c r="V72" i="15"/>
  <c r="V71" i="15"/>
  <c r="C66" i="15"/>
  <c r="AA66" i="15" s="1"/>
  <c r="C65" i="15"/>
  <c r="L65" i="15" s="1"/>
  <c r="V65" i="15" s="1"/>
  <c r="C64" i="15"/>
  <c r="AA64" i="15" s="1"/>
  <c r="C63" i="15"/>
  <c r="L63" i="15" s="1"/>
  <c r="V63" i="15" s="1"/>
  <c r="C62" i="15"/>
  <c r="AA62" i="15" s="1"/>
  <c r="AA61" i="15"/>
  <c r="D61" i="15"/>
  <c r="E61" i="15" s="1"/>
  <c r="C61" i="15"/>
  <c r="L61" i="15" s="1"/>
  <c r="V61" i="15" s="1"/>
  <c r="C60" i="15"/>
  <c r="AA60" i="15" s="1"/>
  <c r="C59" i="15"/>
  <c r="L59" i="15" s="1"/>
  <c r="V59" i="15" s="1"/>
  <c r="C58" i="15"/>
  <c r="AA58" i="15" s="1"/>
  <c r="C57" i="15"/>
  <c r="D57" i="15" s="1"/>
  <c r="E57" i="15" s="1"/>
  <c r="C56" i="15"/>
  <c r="C55" i="15"/>
  <c r="AA55" i="15" s="1"/>
  <c r="C54" i="15"/>
  <c r="C53" i="15"/>
  <c r="AA53" i="15" s="1"/>
  <c r="C52" i="15"/>
  <c r="C51" i="15"/>
  <c r="AA51" i="15" s="1"/>
  <c r="C50" i="15"/>
  <c r="C49" i="15"/>
  <c r="AA49" i="15" s="1"/>
  <c r="C48" i="15"/>
  <c r="C47" i="15"/>
  <c r="AA47" i="15" s="1"/>
  <c r="C46" i="15"/>
  <c r="C45" i="15"/>
  <c r="AA45" i="15" s="1"/>
  <c r="C44" i="15"/>
  <c r="C43" i="15"/>
  <c r="AA43" i="15" s="1"/>
  <c r="C42" i="15"/>
  <c r="C41" i="15"/>
  <c r="AA41" i="15" s="1"/>
  <c r="C40" i="15"/>
  <c r="L40" i="15" s="1"/>
  <c r="R40" i="15" s="1"/>
  <c r="C39" i="15"/>
  <c r="C38" i="15"/>
  <c r="D38" i="15" s="1"/>
  <c r="E38" i="15" s="1"/>
  <c r="C37" i="15"/>
  <c r="C36" i="15"/>
  <c r="AA36" i="15" s="1"/>
  <c r="C35" i="15"/>
  <c r="C34" i="15"/>
  <c r="AA34" i="15" s="1"/>
  <c r="D33" i="15"/>
  <c r="E33" i="15" s="1"/>
  <c r="C33" i="15"/>
  <c r="AA33" i="15" s="1"/>
  <c r="C32" i="15"/>
  <c r="L32" i="15" s="1"/>
  <c r="R32" i="15" s="1"/>
  <c r="C31" i="15"/>
  <c r="L31" i="15" s="1"/>
  <c r="V31" i="15" s="1"/>
  <c r="C30" i="15"/>
  <c r="L30" i="15" s="1"/>
  <c r="V30" i="15" s="1"/>
  <c r="C29" i="15"/>
  <c r="L29" i="15" s="1"/>
  <c r="V29" i="15" s="1"/>
  <c r="C28" i="15"/>
  <c r="L28" i="15" s="1"/>
  <c r="V28" i="15" s="1"/>
  <c r="C27" i="15"/>
  <c r="L27" i="15" s="1"/>
  <c r="V27" i="15" s="1"/>
  <c r="C26" i="15"/>
  <c r="AA26" i="15" s="1"/>
  <c r="C25" i="15"/>
  <c r="D25" i="15" s="1"/>
  <c r="F25" i="15" s="1"/>
  <c r="C24" i="15"/>
  <c r="L24" i="15" s="1"/>
  <c r="R24" i="15" s="1"/>
  <c r="C23" i="15"/>
  <c r="C22" i="15"/>
  <c r="AA22" i="15" s="1"/>
  <c r="C21" i="15"/>
  <c r="L21" i="15" s="1"/>
  <c r="V21" i="15" s="1"/>
  <c r="C20" i="15"/>
  <c r="C19" i="15"/>
  <c r="AA19" i="15" s="1"/>
  <c r="C18" i="15"/>
  <c r="E18" i="15" s="1"/>
  <c r="C17" i="15"/>
  <c r="C16" i="15"/>
  <c r="AA16" i="15" s="1"/>
  <c r="C15" i="15"/>
  <c r="C14" i="15"/>
  <c r="AA14" i="15" s="1"/>
  <c r="C13" i="15"/>
  <c r="L13" i="15" s="1"/>
  <c r="V13" i="15" s="1"/>
  <c r="C12" i="15"/>
  <c r="AA12" i="15" s="1"/>
  <c r="C11" i="15"/>
  <c r="L11" i="15" s="1"/>
  <c r="V11" i="15" s="1"/>
  <c r="C10" i="15"/>
  <c r="AA10" i="15" s="1"/>
  <c r="C9" i="15"/>
  <c r="L9" i="15" s="1"/>
  <c r="V9" i="15" s="1"/>
  <c r="C8" i="15"/>
  <c r="L8" i="15" s="1"/>
  <c r="V8" i="15" s="1"/>
  <c r="L7" i="15"/>
  <c r="V7" i="15" s="1"/>
  <c r="D7" i="15"/>
  <c r="E7" i="15" s="1"/>
  <c r="C7" i="15"/>
  <c r="AA7" i="15" s="1"/>
  <c r="C6" i="15"/>
  <c r="L6" i="15" s="1"/>
  <c r="V6" i="15" s="1"/>
  <c r="C5" i="15"/>
  <c r="L5" i="15" s="1"/>
  <c r="V5" i="15" s="1"/>
  <c r="C4" i="15"/>
  <c r="L4" i="15" s="1"/>
  <c r="V4" i="15" s="1"/>
  <c r="C3" i="15"/>
  <c r="D3" i="15" s="1"/>
  <c r="E3" i="15" s="1"/>
  <c r="L45" i="15" l="1"/>
  <c r="V45" i="15" s="1"/>
  <c r="L51" i="15"/>
  <c r="V51" i="15" s="1"/>
  <c r="L66" i="15"/>
  <c r="V66" i="15" s="1"/>
  <c r="D13" i="15"/>
  <c r="E13" i="15" s="1"/>
  <c r="L18" i="15"/>
  <c r="V18" i="15" s="1"/>
  <c r="AA25" i="15"/>
  <c r="D30" i="15"/>
  <c r="E30" i="15" s="1"/>
  <c r="D40" i="15"/>
  <c r="E40" i="15" s="1"/>
  <c r="L58" i="15"/>
  <c r="V58" i="15" s="1"/>
  <c r="L62" i="15"/>
  <c r="V62" i="15" s="1"/>
  <c r="AA13" i="15"/>
  <c r="R30" i="15"/>
  <c r="D36" i="15"/>
  <c r="E36" i="15" s="1"/>
  <c r="L47" i="15"/>
  <c r="V47" i="15" s="1"/>
  <c r="L53" i="15"/>
  <c r="V53" i="15" s="1"/>
  <c r="AA59" i="15"/>
  <c r="D63" i="15"/>
  <c r="E63" i="15" s="1"/>
  <c r="L10" i="15"/>
  <c r="V10" i="15" s="1"/>
  <c r="D27" i="15"/>
  <c r="E27" i="15" s="1"/>
  <c r="R31" i="15"/>
  <c r="L43" i="15"/>
  <c r="V43" i="15" s="1"/>
  <c r="L64" i="15"/>
  <c r="V64" i="15" s="1"/>
  <c r="L3" i="15"/>
  <c r="V3" i="15" s="1"/>
  <c r="AA11" i="15"/>
  <c r="L16" i="15"/>
  <c r="V16" i="15" s="1"/>
  <c r="D28" i="15"/>
  <c r="E28" i="15" s="1"/>
  <c r="L38" i="15"/>
  <c r="V38" i="15" s="1"/>
  <c r="AA6" i="15"/>
  <c r="D9" i="15"/>
  <c r="E9" i="15" s="1"/>
  <c r="L12" i="15"/>
  <c r="V12" i="15" s="1"/>
  <c r="E19" i="15"/>
  <c r="D24" i="15"/>
  <c r="E24" i="15" s="1"/>
  <c r="R27" i="15"/>
  <c r="D29" i="15"/>
  <c r="E29" i="15" s="1"/>
  <c r="D32" i="15"/>
  <c r="E32" i="15" s="1"/>
  <c r="L34" i="15"/>
  <c r="R34" i="15" s="1"/>
  <c r="AA38" i="15"/>
  <c r="L41" i="15"/>
  <c r="V41" i="15" s="1"/>
  <c r="L49" i="15"/>
  <c r="V49" i="15" s="1"/>
  <c r="L57" i="15"/>
  <c r="V57" i="15" s="1"/>
  <c r="L60" i="15"/>
  <c r="V60" i="15" s="1"/>
  <c r="AA63" i="15"/>
  <c r="D65" i="15"/>
  <c r="E65" i="15" s="1"/>
  <c r="D6" i="15"/>
  <c r="E6" i="15" s="1"/>
  <c r="AA9" i="15"/>
  <c r="D11" i="15"/>
  <c r="E11" i="15" s="1"/>
  <c r="L19" i="15"/>
  <c r="V19" i="15" s="1"/>
  <c r="L22" i="15"/>
  <c r="V22" i="15" s="1"/>
  <c r="AA24" i="15"/>
  <c r="L26" i="15"/>
  <c r="V26" i="15" s="1"/>
  <c r="D31" i="15"/>
  <c r="E31" i="15" s="1"/>
  <c r="AA32" i="15"/>
  <c r="L33" i="15"/>
  <c r="V33" i="15" s="1"/>
  <c r="L36" i="15"/>
  <c r="V36" i="15" s="1"/>
  <c r="F40" i="15"/>
  <c r="L55" i="15"/>
  <c r="V55" i="15" s="1"/>
  <c r="AA57" i="15"/>
  <c r="D59" i="15"/>
  <c r="E59" i="15" s="1"/>
  <c r="AA65" i="15"/>
  <c r="AA40" i="15"/>
  <c r="L20" i="15"/>
  <c r="V20" i="15" s="1"/>
  <c r="E20" i="15"/>
  <c r="AA20" i="15"/>
  <c r="AA3" i="15"/>
  <c r="E25" i="15"/>
  <c r="L15" i="15"/>
  <c r="V15" i="15" s="1"/>
  <c r="AA15" i="15"/>
  <c r="D15" i="15"/>
  <c r="E15" i="15" s="1"/>
  <c r="AA5" i="15"/>
  <c r="R29" i="15"/>
  <c r="L39" i="15"/>
  <c r="V39" i="15" s="1"/>
  <c r="AA39" i="15"/>
  <c r="D39" i="15"/>
  <c r="E39" i="15" s="1"/>
  <c r="L44" i="15"/>
  <c r="V44" i="15" s="1"/>
  <c r="AA44" i="15"/>
  <c r="D44" i="15"/>
  <c r="E44" i="15" s="1"/>
  <c r="L52" i="15"/>
  <c r="V52" i="15" s="1"/>
  <c r="AA52" i="15"/>
  <c r="D52" i="15"/>
  <c r="E52" i="15" s="1"/>
  <c r="AA4" i="15"/>
  <c r="D4" i="15"/>
  <c r="D5" i="15"/>
  <c r="E5" i="15" s="1"/>
  <c r="F8" i="15"/>
  <c r="AA8" i="15"/>
  <c r="D8" i="15"/>
  <c r="E8" i="15" s="1"/>
  <c r="L23" i="15"/>
  <c r="AA23" i="15"/>
  <c r="D23" i="15"/>
  <c r="E23" i="15" s="1"/>
  <c r="V24" i="15"/>
  <c r="R28" i="15"/>
  <c r="V32" i="15"/>
  <c r="V34" i="15"/>
  <c r="L37" i="15"/>
  <c r="V37" i="15" s="1"/>
  <c r="AA37" i="15"/>
  <c r="D37" i="15"/>
  <c r="E37" i="15" s="1"/>
  <c r="L46" i="15"/>
  <c r="V46" i="15" s="1"/>
  <c r="AA46" i="15"/>
  <c r="D46" i="15"/>
  <c r="E46" i="15" s="1"/>
  <c r="L54" i="15"/>
  <c r="V54" i="15" s="1"/>
  <c r="AA54" i="15"/>
  <c r="D54" i="15"/>
  <c r="E54" i="15" s="1"/>
  <c r="V40" i="15"/>
  <c r="L48" i="15"/>
  <c r="V48" i="15" s="1"/>
  <c r="AA48" i="15"/>
  <c r="D48" i="15"/>
  <c r="E48" i="15" s="1"/>
  <c r="L56" i="15"/>
  <c r="V56" i="15" s="1"/>
  <c r="AA56" i="15"/>
  <c r="D56" i="15"/>
  <c r="E56" i="15" s="1"/>
  <c r="L35" i="15"/>
  <c r="V35" i="15" s="1"/>
  <c r="AA35" i="15"/>
  <c r="D35" i="15"/>
  <c r="E35" i="15" s="1"/>
  <c r="L17" i="15"/>
  <c r="V17" i="15" s="1"/>
  <c r="AA17" i="15"/>
  <c r="D17" i="15"/>
  <c r="E17" i="15" s="1"/>
  <c r="L42" i="15"/>
  <c r="V42" i="15" s="1"/>
  <c r="AA42" i="15"/>
  <c r="D42" i="15"/>
  <c r="E42" i="15" s="1"/>
  <c r="L50" i="15"/>
  <c r="V50" i="15" s="1"/>
  <c r="AA50" i="15"/>
  <c r="D50" i="15"/>
  <c r="E50" i="15" s="1"/>
  <c r="L14" i="15"/>
  <c r="V14" i="15" s="1"/>
  <c r="AA21" i="15"/>
  <c r="F6" i="15"/>
  <c r="D10" i="15"/>
  <c r="E10" i="15" s="1"/>
  <c r="D12" i="15"/>
  <c r="E12" i="15" s="1"/>
  <c r="D14" i="15"/>
  <c r="AA18" i="15"/>
  <c r="E21" i="15"/>
  <c r="L25" i="15"/>
  <c r="V25" i="15" s="1"/>
  <c r="D26" i="15"/>
  <c r="E26" i="15" s="1"/>
  <c r="F27" i="15"/>
  <c r="AA27" i="15"/>
  <c r="F28" i="15"/>
  <c r="AA28" i="15"/>
  <c r="F29" i="15"/>
  <c r="AA29" i="15"/>
  <c r="F30" i="15"/>
  <c r="AA30" i="15"/>
  <c r="AA31" i="15"/>
  <c r="R33" i="15"/>
  <c r="D34" i="15"/>
  <c r="E34" i="15" s="1"/>
  <c r="R57" i="15"/>
  <c r="D58" i="15"/>
  <c r="E58" i="15" s="1"/>
  <c r="D60" i="15"/>
  <c r="E60" i="15" s="1"/>
  <c r="D62" i="15"/>
  <c r="E62" i="15" s="1"/>
  <c r="D64" i="15"/>
  <c r="E64" i="15" s="1"/>
  <c r="D66" i="15"/>
  <c r="E66" i="15" s="1"/>
  <c r="D16" i="15"/>
  <c r="E16" i="15" s="1"/>
  <c r="D22" i="15"/>
  <c r="E22" i="15" s="1"/>
  <c r="D41" i="15"/>
  <c r="E41" i="15" s="1"/>
  <c r="D43" i="15"/>
  <c r="E43" i="15" s="1"/>
  <c r="D45" i="15"/>
  <c r="E45" i="15" s="1"/>
  <c r="D47" i="15"/>
  <c r="E47" i="15" s="1"/>
  <c r="D49" i="15"/>
  <c r="E49" i="15" s="1"/>
  <c r="D51" i="15"/>
  <c r="E51" i="15" s="1"/>
  <c r="D53" i="15"/>
  <c r="E53" i="15" s="1"/>
  <c r="D55" i="15"/>
  <c r="E55" i="15" s="1"/>
  <c r="AE5" i="8"/>
  <c r="AE6" i="8"/>
  <c r="AE7" i="8"/>
  <c r="AE8" i="8"/>
  <c r="AE9" i="8"/>
  <c r="AE10" i="8"/>
  <c r="AE11" i="8"/>
  <c r="AE12" i="8"/>
  <c r="AE13" i="8"/>
  <c r="AE14" i="8"/>
  <c r="AE15" i="8"/>
  <c r="AE4" i="8"/>
  <c r="F31" i="15" l="1"/>
  <c r="E14" i="15"/>
  <c r="F14" i="15"/>
  <c r="V23" i="15"/>
  <c r="R23" i="15"/>
  <c r="E4" i="15"/>
  <c r="F4" i="15"/>
  <c r="F5" i="15"/>
  <c r="CE7" i="3" l="1"/>
  <c r="CE5" i="3" l="1"/>
  <c r="CE6" i="3"/>
  <c r="CE9" i="3" l="1"/>
  <c r="BB5" i="3" l="1"/>
  <c r="BD5" i="3"/>
  <c r="BD7" i="3"/>
  <c r="BB7" i="3"/>
  <c r="BB6" i="3"/>
  <c r="BD6" i="3"/>
  <c r="AT7" i="3"/>
  <c r="AZ7" i="3"/>
  <c r="AX7" i="3"/>
  <c r="AT5" i="3"/>
  <c r="AZ5" i="3"/>
  <c r="AX5" i="3"/>
  <c r="CH6" i="3"/>
  <c r="AZ6" i="3"/>
  <c r="AX6" i="3"/>
  <c r="CJ7" i="3"/>
  <c r="CZ5" i="3"/>
  <c r="AR6" i="3"/>
  <c r="CN7" i="3"/>
  <c r="CF7" i="3"/>
  <c r="CZ6" i="3"/>
  <c r="CP5" i="3"/>
  <c r="CT6" i="3"/>
  <c r="CL5" i="3"/>
  <c r="DB7" i="3"/>
  <c r="CV5" i="3"/>
  <c r="CR6" i="3"/>
  <c r="BC6" i="3"/>
  <c r="CF6" i="3"/>
  <c r="CV7" i="3"/>
  <c r="AV7" i="3"/>
  <c r="CH7" i="3"/>
  <c r="CP7" i="3"/>
  <c r="CX7" i="3"/>
  <c r="AP7" i="3"/>
  <c r="AR5" i="3"/>
  <c r="AR7" i="3"/>
  <c r="DB6" i="3"/>
  <c r="CN6" i="3"/>
  <c r="CJ6" i="3"/>
  <c r="CT7" i="3"/>
  <c r="CL7" i="3"/>
  <c r="CR5" i="3"/>
  <c r="CH5" i="3"/>
  <c r="AT6" i="3"/>
  <c r="CV6" i="3"/>
  <c r="CL6" i="3"/>
  <c r="CZ7" i="3"/>
  <c r="CR7" i="3"/>
  <c r="DB5" i="3"/>
  <c r="CT5" i="3"/>
  <c r="CJ5" i="3"/>
  <c r="AV5" i="3"/>
  <c r="CF5" i="3"/>
  <c r="CN5" i="3"/>
  <c r="CX5" i="3"/>
  <c r="AP5" i="3"/>
  <c r="AV6" i="3"/>
  <c r="CP6" i="3"/>
  <c r="CX6" i="3"/>
  <c r="AP6" i="3"/>
  <c r="AJ5" i="3"/>
  <c r="AH5" i="3"/>
  <c r="AN5" i="3"/>
  <c r="AL5" i="3"/>
  <c r="AH6" i="3"/>
  <c r="AN6" i="3"/>
  <c r="AL6" i="3"/>
  <c r="AJ6" i="3"/>
  <c r="AG5" i="3"/>
  <c r="AI5" i="3"/>
  <c r="AI7" i="3"/>
  <c r="AG7" i="3"/>
  <c r="AG6" i="3"/>
  <c r="AI6" i="3"/>
  <c r="K11" i="8"/>
  <c r="K12" i="8"/>
  <c r="K13" i="8"/>
  <c r="K14" i="8"/>
  <c r="K15" i="8"/>
  <c r="I4" i="8" l="1"/>
  <c r="I5" i="8"/>
  <c r="M4" i="8"/>
  <c r="BD9" i="3"/>
  <c r="J15" i="8" s="1"/>
  <c r="BB9" i="3"/>
  <c r="J14" i="8" s="1"/>
  <c r="AX9" i="3"/>
  <c r="J12" i="8" s="1"/>
  <c r="AZ9" i="3"/>
  <c r="J13" i="8" s="1"/>
  <c r="AV9" i="3"/>
  <c r="J11" i="8" s="1"/>
  <c r="AI9" i="3"/>
  <c r="AJ9" i="3"/>
  <c r="J5" i="8" s="1"/>
  <c r="AR9" i="3"/>
  <c r="J9" i="8" s="1"/>
  <c r="AN9" i="3"/>
  <c r="J7" i="8" s="1"/>
  <c r="AT9" i="3"/>
  <c r="J10" i="8" s="1"/>
  <c r="AL9" i="3"/>
  <c r="J6" i="8" s="1"/>
  <c r="AH9" i="3"/>
  <c r="J4" i="8" s="1"/>
  <c r="AP9" i="3"/>
  <c r="J8" i="8" s="1"/>
  <c r="DD6" i="3"/>
  <c r="DE6" i="3" s="1"/>
  <c r="DD5" i="3"/>
  <c r="DE5" i="3" s="1"/>
  <c r="DD7" i="3"/>
  <c r="DE7" i="3" s="1"/>
  <c r="CO9" i="3"/>
  <c r="CX9" i="3"/>
  <c r="AC13" i="8" s="1"/>
  <c r="AF13" i="8" s="1"/>
  <c r="AF9" i="8"/>
  <c r="CR9" i="3"/>
  <c r="AC10" i="8" s="1"/>
  <c r="AF10" i="8" s="1"/>
  <c r="CJ9" i="3"/>
  <c r="AC6" i="8" s="1"/>
  <c r="AF6" i="8" s="1"/>
  <c r="CL9" i="3"/>
  <c r="AC7" i="8" s="1"/>
  <c r="AG7" i="8" s="1"/>
  <c r="CV9" i="3"/>
  <c r="AC12" i="8" s="1"/>
  <c r="AG12" i="8" s="1"/>
  <c r="CN9" i="3"/>
  <c r="AC8" i="8" s="1"/>
  <c r="AG8" i="8" s="1"/>
  <c r="CQ9" i="3"/>
  <c r="DB9" i="3"/>
  <c r="AC15" i="8" s="1"/>
  <c r="AF15" i="8" s="1"/>
  <c r="CH9" i="3"/>
  <c r="AC5" i="8" s="1"/>
  <c r="AG5" i="8" s="1"/>
  <c r="CT9" i="3"/>
  <c r="AC11" i="8" s="1"/>
  <c r="AF11" i="8" s="1"/>
  <c r="CP9" i="3"/>
  <c r="AC9" i="8" s="1"/>
  <c r="CF9" i="3"/>
  <c r="AC4" i="8" s="1"/>
  <c r="AF4" i="8" s="1"/>
  <c r="CZ9" i="3"/>
  <c r="AC14" i="8" s="1"/>
  <c r="AG14" i="8" s="1"/>
  <c r="K9" i="8"/>
  <c r="K5" i="8"/>
  <c r="K8" i="8"/>
  <c r="K10" i="8"/>
  <c r="K4" i="8"/>
  <c r="L4" i="8" s="1"/>
  <c r="R4" i="8"/>
  <c r="R5" i="8"/>
  <c r="R6" i="8"/>
  <c r="R7" i="8"/>
  <c r="R8" i="8"/>
  <c r="R9" i="8"/>
  <c r="R10" i="8"/>
  <c r="R11" i="8"/>
  <c r="R12" i="8"/>
  <c r="R13" i="8"/>
  <c r="R14" i="8"/>
  <c r="R15" i="8"/>
  <c r="Q4" i="8"/>
  <c r="Q5" i="8"/>
  <c r="Q6" i="8"/>
  <c r="L5" i="8" l="1"/>
  <c r="M5" i="8"/>
  <c r="AF8" i="8"/>
  <c r="AF7" i="8"/>
  <c r="AG4" i="8"/>
  <c r="AG15" i="8"/>
  <c r="AG9" i="8"/>
  <c r="AG11" i="8"/>
  <c r="AG6" i="8"/>
  <c r="AF5" i="8"/>
  <c r="AG13" i="8"/>
  <c r="AF14" i="8"/>
  <c r="DE9" i="3"/>
  <c r="AG10" i="8"/>
  <c r="AF12" i="8"/>
  <c r="DD9" i="3"/>
  <c r="AF5" i="3" l="1"/>
  <c r="AF6" i="3"/>
  <c r="AF9" i="3" l="1"/>
  <c r="AG9" i="3" l="1"/>
  <c r="AO6" i="3"/>
  <c r="AW6" i="3"/>
  <c r="AM6" i="3"/>
  <c r="AY6" i="3"/>
  <c r="AQ6" i="3"/>
  <c r="BA6" i="3"/>
  <c r="AS6" i="3"/>
  <c r="AU6" i="3"/>
  <c r="AK6" i="3"/>
  <c r="AS7" i="3"/>
  <c r="AU7" i="3"/>
  <c r="AO5" i="3"/>
  <c r="AW5" i="3"/>
  <c r="AQ5" i="3"/>
  <c r="BA5" i="3"/>
  <c r="AS5" i="3"/>
  <c r="BC5" i="3"/>
  <c r="AU5" i="3"/>
  <c r="AM5" i="3"/>
  <c r="AY5" i="3"/>
  <c r="AK5" i="3"/>
  <c r="Q13" i="8"/>
  <c r="Q15" i="8"/>
  <c r="Q11" i="8"/>
  <c r="Q7" i="8"/>
  <c r="Q14" i="8"/>
  <c r="Q10" i="8"/>
  <c r="Q9" i="8"/>
  <c r="Q12" i="8"/>
  <c r="Q8" i="8"/>
  <c r="I11" i="8" l="1"/>
  <c r="M11" i="8" s="1"/>
  <c r="I10" i="8"/>
  <c r="AU9" i="3"/>
  <c r="AS9" i="3"/>
  <c r="L11" i="8" l="1"/>
  <c r="M10" i="8"/>
  <c r="L10" i="8"/>
  <c r="BE6" i="3"/>
  <c r="BF6" i="3" l="1"/>
  <c r="AK7" i="3" l="1"/>
  <c r="I6" i="8" s="1"/>
  <c r="AO7" i="3"/>
  <c r="I8" i="8" s="1"/>
  <c r="AW7" i="3"/>
  <c r="I12" i="8" s="1"/>
  <c r="BA7" i="3"/>
  <c r="I14" i="8" s="1"/>
  <c r="AM7" i="3"/>
  <c r="BC7" i="3"/>
  <c r="I15" i="8" s="1"/>
  <c r="AQ7" i="3"/>
  <c r="I9" i="8" s="1"/>
  <c r="AY7" i="3"/>
  <c r="I13" i="8" s="1"/>
  <c r="M15" i="8" l="1"/>
  <c r="L15" i="8"/>
  <c r="M14" i="8"/>
  <c r="L14" i="8"/>
  <c r="M13" i="8"/>
  <c r="L13" i="8"/>
  <c r="M12" i="8"/>
  <c r="L12" i="8"/>
  <c r="M9" i="8"/>
  <c r="L9" i="8"/>
  <c r="M8" i="8"/>
  <c r="L8" i="8"/>
  <c r="AM9" i="3"/>
  <c r="I7" i="8"/>
  <c r="M6" i="8"/>
  <c r="L6" i="8"/>
  <c r="AY9" i="3"/>
  <c r="AQ9" i="3"/>
  <c r="BC9" i="3"/>
  <c r="BA9" i="3"/>
  <c r="AW9" i="3"/>
  <c r="AO9" i="3"/>
  <c r="AK9" i="3"/>
  <c r="BE5" i="3"/>
  <c r="BE7" i="3"/>
  <c r="L7" i="8" l="1"/>
  <c r="M7" i="8"/>
  <c r="BF7" i="3"/>
  <c r="BF5" i="3"/>
  <c r="BE9" i="3"/>
  <c r="BF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5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7707074024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7707074025</t>
        </r>
      </text>
    </comment>
    <comment ref="B7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7707074026</t>
        </r>
      </text>
    </comment>
  </commentList>
</comments>
</file>

<file path=xl/sharedStrings.xml><?xml version="1.0" encoding="utf-8"?>
<sst xmlns="http://schemas.openxmlformats.org/spreadsheetml/2006/main" count="1341" uniqueCount="207">
  <si>
    <t>Efficiency</t>
  </si>
  <si>
    <t>Shots per Min.</t>
  </si>
  <si>
    <t>% occupancy</t>
  </si>
  <si>
    <t>June</t>
  </si>
  <si>
    <t>July</t>
  </si>
  <si>
    <t>August</t>
  </si>
  <si>
    <t>September</t>
  </si>
  <si>
    <t>October</t>
  </si>
  <si>
    <t>November</t>
  </si>
  <si>
    <t>December</t>
  </si>
  <si>
    <t>Remaining Hrs</t>
  </si>
  <si>
    <t>May</t>
  </si>
  <si>
    <t>April</t>
  </si>
  <si>
    <t>January</t>
  </si>
  <si>
    <t>February</t>
  </si>
  <si>
    <t>March</t>
  </si>
  <si>
    <t xml:space="preserve">May </t>
  </si>
  <si>
    <t>Frebruary</t>
  </si>
  <si>
    <t>AR ref</t>
  </si>
  <si>
    <t>Yearly volume</t>
  </si>
  <si>
    <t>Month</t>
  </si>
  <si>
    <t>Day per Year</t>
  </si>
  <si>
    <t>Max capacity (1 shift)</t>
  </si>
  <si>
    <t>Day per month</t>
  </si>
  <si>
    <t xml:space="preserve">Управление цепочкой поставок </t>
  </si>
  <si>
    <t>Версия: 01</t>
  </si>
  <si>
    <t xml:space="preserve">Max Capacity (3 shifts) </t>
  </si>
  <si>
    <t xml:space="preserve">Max capacity (2 shifts) </t>
  </si>
  <si>
    <t xml:space="preserve">Max Capacity </t>
  </si>
  <si>
    <t>Current scenario</t>
  </si>
  <si>
    <t>shifts</t>
  </si>
  <si>
    <t>days/month</t>
  </si>
  <si>
    <t>day off</t>
  </si>
  <si>
    <t>working days</t>
  </si>
  <si>
    <t>Max capacity information</t>
  </si>
  <si>
    <t>machines</t>
  </si>
  <si>
    <t>#</t>
  </si>
  <si>
    <t>063269001</t>
  </si>
  <si>
    <t>056287000</t>
  </si>
  <si>
    <t>056286000</t>
  </si>
  <si>
    <t>056666000</t>
  </si>
  <si>
    <t>055966001</t>
  </si>
  <si>
    <t>057268000</t>
  </si>
  <si>
    <t>013000000</t>
  </si>
  <si>
    <t>056080001</t>
  </si>
  <si>
    <t>план</t>
  </si>
  <si>
    <t>факт</t>
  </si>
  <si>
    <t>Fact</t>
  </si>
  <si>
    <t>Plan</t>
  </si>
  <si>
    <t>Reference</t>
  </si>
  <si>
    <t>вес съема, гр</t>
  </si>
  <si>
    <t>Local part weight</t>
  </si>
  <si>
    <t>технол. потери, гр</t>
  </si>
  <si>
    <t>процент потерь</t>
  </si>
  <si>
    <t>краситель, гр</t>
  </si>
  <si>
    <t>рабочий центр</t>
  </si>
  <si>
    <t>оснастка</t>
  </si>
  <si>
    <t>кол-во гнезд</t>
  </si>
  <si>
    <t>время цикла</t>
  </si>
  <si>
    <t>комментарий</t>
  </si>
  <si>
    <t>вес 1000 деталей, кг</t>
  </si>
  <si>
    <t>инструкция по упаковке</t>
  </si>
  <si>
    <t>увлажнение деталей</t>
  </si>
  <si>
    <t>кол-во воды</t>
  </si>
  <si>
    <t>тип пакета</t>
  </si>
  <si>
    <t>деталей в пакете</t>
  </si>
  <si>
    <t>вес деталей в пакете</t>
  </si>
  <si>
    <t>пакетов в коробе</t>
  </si>
  <si>
    <t>тип короба</t>
  </si>
  <si>
    <t>деталей в коробе</t>
  </si>
  <si>
    <t>вес деталей в коробе</t>
  </si>
  <si>
    <t>тип поддона</t>
  </si>
  <si>
    <t>рядов на поддоне</t>
  </si>
  <si>
    <t>коробов в ряду</t>
  </si>
  <si>
    <t>Part weight in SAP</t>
  </si>
  <si>
    <t>Difference</t>
  </si>
  <si>
    <t>injection</t>
  </si>
  <si>
    <t>ТПА5 (220)</t>
  </si>
  <si>
    <r>
      <rPr>
        <sz val="11"/>
        <rFont val="Calibri"/>
        <family val="2"/>
      </rPr>
      <t>–</t>
    </r>
  </si>
  <si>
    <t>нет</t>
  </si>
  <si>
    <t>A12</t>
  </si>
  <si>
    <t>P09</t>
  </si>
  <si>
    <t>ТПА4 (220)</t>
  </si>
  <si>
    <t>ТПА1 (80)</t>
  </si>
  <si>
    <t>ТПА3 (120)</t>
  </si>
  <si>
    <t>A10</t>
  </si>
  <si>
    <t>ТПА2 (80)</t>
  </si>
  <si>
    <t>да</t>
  </si>
  <si>
    <t>RUSAINJ</t>
  </si>
  <si>
    <t>EC 6432</t>
  </si>
  <si>
    <t xml:space="preserve"> </t>
  </si>
  <si>
    <t>сборка</t>
  </si>
  <si>
    <t>082 294 000</t>
  </si>
  <si>
    <t>MAS05</t>
  </si>
  <si>
    <t>082 294</t>
  </si>
  <si>
    <r>
      <rPr>
        <sz val="11"/>
        <color theme="1"/>
        <rFont val="Calibri"/>
        <family val="2"/>
        <charset val="204"/>
      </rPr>
      <t>–</t>
    </r>
  </si>
  <si>
    <t>082 651 004</t>
  </si>
  <si>
    <t>MAS02</t>
  </si>
  <si>
    <t>082 651</t>
  </si>
  <si>
    <t>082 652 006</t>
  </si>
  <si>
    <t>082 652</t>
  </si>
  <si>
    <t>082 653 005</t>
  </si>
  <si>
    <t>MAS03</t>
  </si>
  <si>
    <t>082 653</t>
  </si>
  <si>
    <t>MAS01</t>
  </si>
  <si>
    <t>MAS04</t>
  </si>
  <si>
    <t>XGA</t>
  </si>
  <si>
    <t>WI-PR-03-04</t>
  </si>
  <si>
    <t>PR0108</t>
  </si>
  <si>
    <t>QC</t>
  </si>
  <si>
    <t>070 151 001</t>
  </si>
  <si>
    <t>QC717</t>
  </si>
  <si>
    <t>717 1 кольцо</t>
  </si>
  <si>
    <t>RUSAQC</t>
  </si>
  <si>
    <t>P08</t>
  </si>
  <si>
    <t>070 167 000</t>
  </si>
  <si>
    <t>QC718</t>
  </si>
  <si>
    <t>718 2 кольца</t>
  </si>
  <si>
    <t>QCMAS1</t>
  </si>
  <si>
    <r>
      <rPr>
        <sz val="11"/>
        <color rgb="FFFF0000"/>
        <rFont val="Calibri"/>
        <family val="2"/>
      </rPr>
      <t>–</t>
    </r>
  </si>
  <si>
    <t>092 006 007</t>
  </si>
  <si>
    <t>092 006 004</t>
  </si>
  <si>
    <t>092 000 013</t>
  </si>
  <si>
    <t>092 502 000</t>
  </si>
  <si>
    <t>092 502 001</t>
  </si>
  <si>
    <t>214366000</t>
  </si>
  <si>
    <t>128383000</t>
  </si>
  <si>
    <t>132623000</t>
  </si>
  <si>
    <t>201755000</t>
  </si>
  <si>
    <t>201170000</t>
  </si>
  <si>
    <t>200139000</t>
  </si>
  <si>
    <t>204978000</t>
  </si>
  <si>
    <t>230995001</t>
  </si>
  <si>
    <t>175137000</t>
  </si>
  <si>
    <t>234391000</t>
  </si>
  <si>
    <t>205048000</t>
  </si>
  <si>
    <t>209228000</t>
  </si>
  <si>
    <t>209228002</t>
  </si>
  <si>
    <t>209228003</t>
  </si>
  <si>
    <t>209228004</t>
  </si>
  <si>
    <t>209228005</t>
  </si>
  <si>
    <t>204009000</t>
  </si>
  <si>
    <t>246350000</t>
  </si>
  <si>
    <t>248196000</t>
  </si>
  <si>
    <t>247808000</t>
  </si>
  <si>
    <t>247803000</t>
  </si>
  <si>
    <t>247812000</t>
  </si>
  <si>
    <t>247805000</t>
  </si>
  <si>
    <t>247810000</t>
  </si>
  <si>
    <t>249241000</t>
  </si>
  <si>
    <t>249243000</t>
  </si>
  <si>
    <t>247791000</t>
  </si>
  <si>
    <t>252142000</t>
  </si>
  <si>
    <t>251304000</t>
  </si>
  <si>
    <t>252403000</t>
  </si>
  <si>
    <t>216083000</t>
  </si>
  <si>
    <t>254107000</t>
  </si>
  <si>
    <t>254108000</t>
  </si>
  <si>
    <t>254109000</t>
  </si>
  <si>
    <t>254110000</t>
  </si>
  <si>
    <t>175182000</t>
  </si>
  <si>
    <t>131073002</t>
  </si>
  <si>
    <t>129755000</t>
  </si>
  <si>
    <t>200600000</t>
  </si>
  <si>
    <t>221830000</t>
  </si>
  <si>
    <t>221831000</t>
  </si>
  <si>
    <t>228947000</t>
  </si>
  <si>
    <t>228948000</t>
  </si>
  <si>
    <t>234213000</t>
  </si>
  <si>
    <t>236657000</t>
  </si>
  <si>
    <t>234210000</t>
  </si>
  <si>
    <t>236655000</t>
  </si>
  <si>
    <t>211886000</t>
  </si>
  <si>
    <t>247790000</t>
  </si>
  <si>
    <t>247795000</t>
  </si>
  <si>
    <t>247797000</t>
  </si>
  <si>
    <t>247800000</t>
  </si>
  <si>
    <t>016423000</t>
  </si>
  <si>
    <t>016423003</t>
  </si>
  <si>
    <t>012938003</t>
  </si>
  <si>
    <t>013000003</t>
  </si>
  <si>
    <t>Месяц</t>
  </si>
  <si>
    <t>Среднее по году</t>
  </si>
  <si>
    <t>80T - План загрузки (5 дней 3 смены)</t>
  </si>
  <si>
    <t>80T- Факт Загрузки</t>
  </si>
  <si>
    <t>80T - Максимальная мощность (7 дней 3 смены - Max Capacity)</t>
  </si>
  <si>
    <t>80T - GAP Факт/Максимальная мощность</t>
  </si>
  <si>
    <t>80Т - Коэффициент Загрузки</t>
  </si>
  <si>
    <t>120T - План загрузки (5 дней 3 смены)</t>
  </si>
  <si>
    <t>120T -Максимальная мощность (7 дней 3 смены - Max Capacity)</t>
  </si>
  <si>
    <t>120T - Факт Загрузки</t>
  </si>
  <si>
    <t>120T - GAP Факт/Максимальная мощность</t>
  </si>
  <si>
    <t>120Т - Коэффициент Загрузки</t>
  </si>
  <si>
    <t>220T - План загрузки (5 дней 3 смены)</t>
  </si>
  <si>
    <t>220T - Максимальная мощность (7 дней 3 смены - Max Capacity)</t>
  </si>
  <si>
    <t>220Т - Факт Загрузки</t>
  </si>
  <si>
    <t>220T  - GAP Факт/Максимальная мощность</t>
  </si>
  <si>
    <t>220Т - Коэффициент Загрузки</t>
  </si>
  <si>
    <t>PPH Actual</t>
  </si>
  <si>
    <t>PPH Theoretical</t>
  </si>
  <si>
    <t>Cycle                   time</t>
  </si>
  <si>
    <t>Days / Year</t>
  </si>
  <si>
    <t>Annual volume</t>
  </si>
  <si>
    <t>Days / month</t>
  </si>
  <si>
    <t>082651004</t>
  </si>
  <si>
    <t>082652006</t>
  </si>
  <si>
    <t>082653005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</si>
</sst>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_-* #,##0.00\ &quot;Kč&quot;_-;\-* #,##0.00\ &quot;Kč&quot;_-;_-* &quot;-&quot;??\ &quot;Kč&quot;_-;_-@_-"/>
    <numFmt numFmtId="166" formatCode="#,##0.0"/>
    <numFmt numFmtId="167" formatCode="#,##0.000"/>
    <numFmt numFmtId="168" formatCode="dd/mm/yy;@"/>
  </numFmts>
  <fonts count="2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38"/>
    </font>
    <font>
      <sz val="10"/>
      <name val="Tahoma"/>
      <family val="2"/>
      <charset val="238"/>
    </font>
    <font>
      <sz val="10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  <charset val="204"/>
    </font>
    <font>
      <b/>
      <sz val="16"/>
      <name val="Arial"/>
      <family val="2"/>
      <charset val="204"/>
    </font>
    <font>
      <b/>
      <sz val="12"/>
      <name val="Calibri"/>
      <family val="2"/>
      <charset val="204"/>
    </font>
    <font>
      <sz val="12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4" fillId="0" borderId="0"/>
    <xf numFmtId="0" fontId="6" fillId="0" borderId="0"/>
    <xf numFmtId="0" fontId="3" fillId="0" borderId="0"/>
    <xf numFmtId="0" fontId="8" fillId="0" borderId="0"/>
    <xf numFmtId="0" fontId="10" fillId="0" borderId="0"/>
    <xf numFmtId="0" fontId="3" fillId="0" borderId="0"/>
  </cellStyleXfs>
  <cellXfs count="22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5" fillId="0" borderId="0" xfId="4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 vertical="center"/>
    </xf>
    <xf numFmtId="0" fontId="0" fillId="0" borderId="0" xfId="0" applyFill="1"/>
    <xf numFmtId="1" fontId="0" fillId="0" borderId="0" xfId="0" applyNumberForma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0" fontId="9" fillId="10" borderId="3" xfId="0" applyFont="1" applyFill="1" applyBorder="1" applyAlignment="1">
      <alignment horizontal="center" vertical="center" wrapText="1"/>
    </xf>
    <xf numFmtId="49" fontId="0" fillId="0" borderId="0" xfId="0" applyNumberFormat="1"/>
    <xf numFmtId="3" fontId="0" fillId="15" borderId="0" xfId="0" applyNumberFormat="1" applyFont="1" applyFill="1" applyBorder="1" applyAlignment="1">
      <alignment horizontal="center" vertical="center"/>
    </xf>
    <xf numFmtId="3" fontId="0" fillId="15" borderId="0" xfId="0" applyNumberFormat="1" applyFont="1" applyFill="1" applyBorder="1" applyAlignment="1">
      <alignment horizont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1" fontId="0" fillId="16" borderId="1" xfId="0" applyNumberFormat="1" applyFill="1" applyBorder="1" applyAlignment="1">
      <alignment horizontal="center"/>
    </xf>
    <xf numFmtId="9" fontId="0" fillId="16" borderId="1" xfId="0" applyNumberFormat="1" applyFill="1" applyBorder="1" applyAlignment="1">
      <alignment horizontal="center"/>
    </xf>
    <xf numFmtId="0" fontId="0" fillId="15" borderId="0" xfId="0" applyFill="1"/>
    <xf numFmtId="0" fontId="0" fillId="15" borderId="1" xfId="0" applyFill="1" applyBorder="1" applyAlignment="1">
      <alignment horizontal="center" vertical="center" wrapText="1"/>
    </xf>
    <xf numFmtId="0" fontId="0" fillId="15" borderId="0" xfId="0" applyFill="1" applyBorder="1" applyAlignment="1">
      <alignment horizontal="center" vertical="center" wrapText="1"/>
    </xf>
    <xf numFmtId="0" fontId="0" fillId="15" borderId="0" xfId="0" applyFill="1" applyBorder="1"/>
    <xf numFmtId="0" fontId="1" fillId="15" borderId="0" xfId="0" applyFont="1" applyFill="1" applyBorder="1" applyAlignment="1">
      <alignment horizontal="center" vertical="center" wrapText="1"/>
    </xf>
    <xf numFmtId="17" fontId="0" fillId="15" borderId="1" xfId="0" applyNumberFormat="1" applyFill="1" applyBorder="1" applyAlignment="1">
      <alignment horizontal="center" vertical="center"/>
    </xf>
    <xf numFmtId="1" fontId="0" fillId="15" borderId="1" xfId="0" applyNumberFormat="1" applyFill="1" applyBorder="1" applyAlignment="1">
      <alignment horizontal="center" vertical="center"/>
    </xf>
    <xf numFmtId="1" fontId="1" fillId="15" borderId="0" xfId="0" applyNumberFormat="1" applyFont="1" applyFill="1" applyBorder="1" applyAlignment="1">
      <alignment horizontal="center" vertical="center"/>
    </xf>
    <xf numFmtId="9" fontId="0" fillId="15" borderId="0" xfId="0" applyNumberFormat="1" applyFill="1" applyBorder="1" applyAlignment="1">
      <alignment horizontal="center" vertical="center"/>
    </xf>
    <xf numFmtId="0" fontId="0" fillId="15" borderId="2" xfId="0" applyFill="1" applyBorder="1"/>
    <xf numFmtId="0" fontId="0" fillId="15" borderId="0" xfId="0" applyFill="1" applyAlignment="1">
      <alignment horizontal="center" vertical="center"/>
    </xf>
    <xf numFmtId="0" fontId="9" fillId="17" borderId="1" xfId="0" applyFont="1" applyFill="1" applyBorder="1" applyAlignment="1">
      <alignment horizontal="center" vertical="center" wrapText="1"/>
    </xf>
    <xf numFmtId="1" fontId="9" fillId="17" borderId="1" xfId="0" applyNumberFormat="1" applyFont="1" applyFill="1" applyBorder="1" applyAlignment="1">
      <alignment horizontal="center" vertical="center"/>
    </xf>
    <xf numFmtId="3" fontId="9" fillId="0" borderId="0" xfId="0" applyNumberFormat="1" applyFont="1"/>
    <xf numFmtId="3" fontId="0" fillId="0" borderId="0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9" fillId="0" borderId="0" xfId="0" applyNumberFormat="1" applyFont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" fontId="9" fillId="15" borderId="1" xfId="0" applyNumberFormat="1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 wrapText="1"/>
    </xf>
    <xf numFmtId="3" fontId="7" fillId="0" borderId="0" xfId="0" applyNumberFormat="1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7" fontId="0" fillId="18" borderId="0" xfId="0" applyNumberFormat="1" applyFill="1" applyBorder="1" applyAlignment="1">
      <alignment horizontal="center" vertical="center" wrapText="1"/>
    </xf>
    <xf numFmtId="167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67" fontId="0" fillId="18" borderId="0" xfId="0" applyNumberFormat="1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1" fillId="0" borderId="0" xfId="0" applyNumberFormat="1" applyFont="1" applyFill="1" applyBorder="1" applyAlignment="1">
      <alignment horizontal="center" vertical="center"/>
    </xf>
    <xf numFmtId="167" fontId="1" fillId="0" borderId="0" xfId="0" applyNumberFormat="1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7" fontId="1" fillId="0" borderId="0" xfId="0" applyNumberFormat="1" applyFont="1" applyFill="1" applyBorder="1" applyAlignment="1">
      <alignment horizontal="left" vertical="center"/>
    </xf>
    <xf numFmtId="167" fontId="1" fillId="18" borderId="0" xfId="0" applyNumberFormat="1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3" fontId="1" fillId="0" borderId="0" xfId="0" quotePrefix="1" applyNumberFormat="1" applyFont="1" applyFill="1" applyBorder="1" applyAlignment="1">
      <alignment horizontal="center" vertical="center"/>
    </xf>
    <xf numFmtId="167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67" fontId="22" fillId="0" borderId="0" xfId="0" applyNumberFormat="1" applyFont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3" fontId="22" fillId="0" borderId="0" xfId="0" applyNumberFormat="1" applyFont="1" applyFill="1" applyBorder="1" applyAlignment="1">
      <alignment horizontal="center" vertical="center"/>
    </xf>
    <xf numFmtId="9" fontId="22" fillId="0" borderId="0" xfId="0" applyNumberFormat="1" applyFont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1" fontId="22" fillId="0" borderId="0" xfId="0" applyNumberFormat="1" applyFont="1" applyFill="1" applyAlignment="1">
      <alignment horizontal="center" vertical="center"/>
    </xf>
    <xf numFmtId="164" fontId="22" fillId="0" borderId="0" xfId="0" applyNumberFormat="1" applyFont="1" applyBorder="1" applyAlignment="1">
      <alignment horizontal="center" vertical="center"/>
    </xf>
    <xf numFmtId="167" fontId="0" fillId="0" borderId="0" xfId="0" applyNumberFormat="1" applyFill="1" applyBorder="1" applyAlignment="1">
      <alignment horizontal="left" vertical="center"/>
    </xf>
    <xf numFmtId="167" fontId="22" fillId="18" borderId="0" xfId="0" applyNumberFormat="1" applyFont="1" applyFill="1" applyAlignment="1">
      <alignment horizontal="center" vertical="center"/>
    </xf>
    <xf numFmtId="0" fontId="22" fillId="0" borderId="0" xfId="0" quotePrefix="1" applyFont="1" applyFill="1" applyAlignment="1">
      <alignment horizontal="center" vertical="center"/>
    </xf>
    <xf numFmtId="3" fontId="22" fillId="0" borderId="0" xfId="0" quotePrefix="1" applyNumberFormat="1" applyFont="1" applyFill="1" applyAlignment="1">
      <alignment horizontal="center" vertical="center"/>
    </xf>
    <xf numFmtId="3" fontId="22" fillId="0" borderId="0" xfId="0" applyNumberFormat="1" applyFont="1" applyFill="1" applyAlignment="1">
      <alignment horizontal="center" vertical="center"/>
    </xf>
    <xf numFmtId="167" fontId="22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7" fontId="0" fillId="18" borderId="0" xfId="0" applyNumberFormat="1" applyFill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3" fontId="0" fillId="0" borderId="0" xfId="0" quotePrefix="1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7" fontId="1" fillId="18" borderId="0" xfId="0" applyNumberFormat="1" applyFont="1" applyFill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quotePrefix="1" applyFon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3" fontId="22" fillId="0" borderId="0" xfId="0" applyNumberFormat="1" applyFont="1" applyAlignment="1">
      <alignment horizontal="center" vertical="center"/>
    </xf>
    <xf numFmtId="3" fontId="22" fillId="0" borderId="0" xfId="0" quotePrefix="1" applyNumberFormat="1" applyFont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quotePrefix="1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7" fontId="7" fillId="15" borderId="1" xfId="0" applyNumberFormat="1" applyFont="1" applyFill="1" applyBorder="1"/>
    <xf numFmtId="1" fontId="0" fillId="0" borderId="0" xfId="0" applyNumberFormat="1"/>
    <xf numFmtId="1" fontId="0" fillId="0" borderId="0" xfId="0" applyNumberFormat="1" applyAlignment="1">
      <alignment horizontal="center"/>
    </xf>
    <xf numFmtId="9" fontId="0" fillId="0" borderId="0" xfId="0" applyNumberFormat="1"/>
    <xf numFmtId="9" fontId="22" fillId="0" borderId="0" xfId="0" applyNumberFormat="1" applyFont="1"/>
    <xf numFmtId="3" fontId="0" fillId="14" borderId="0" xfId="0" applyNumberFormat="1" applyFont="1" applyFill="1" applyBorder="1" applyAlignment="1">
      <alignment horizontal="center" vertical="center"/>
    </xf>
    <xf numFmtId="3" fontId="0" fillId="14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49" fontId="5" fillId="9" borderId="1" xfId="4" applyNumberFormat="1" applyFon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1" fontId="0" fillId="9" borderId="5" xfId="0" applyNumberFormat="1" applyFill="1" applyBorder="1" applyAlignment="1">
      <alignment horizontal="center" vertical="center"/>
    </xf>
    <xf numFmtId="3" fontId="0" fillId="19" borderId="1" xfId="0" applyNumberFormat="1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3" fontId="0" fillId="16" borderId="1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/>
    </xf>
    <xf numFmtId="0" fontId="0" fillId="19" borderId="7" xfId="0" applyFill="1" applyBorder="1" applyAlignment="1">
      <alignment horizontal="center" vertical="center"/>
    </xf>
    <xf numFmtId="3" fontId="0" fillId="19" borderId="7" xfId="0" applyNumberFormat="1" applyFont="1" applyFill="1" applyBorder="1" applyAlignment="1">
      <alignment horizontal="center" vertical="center"/>
    </xf>
    <xf numFmtId="3" fontId="7" fillId="15" borderId="2" xfId="0" applyNumberFormat="1" applyFont="1" applyFill="1" applyBorder="1"/>
    <xf numFmtId="166" fontId="7" fillId="15" borderId="0" xfId="0" applyNumberFormat="1" applyFont="1" applyFill="1" applyBorder="1" applyAlignment="1">
      <alignment horizontal="center"/>
    </xf>
    <xf numFmtId="2" fontId="7" fillId="15" borderId="0" xfId="0" applyNumberFormat="1" applyFont="1" applyFill="1" applyBorder="1" applyAlignment="1">
      <alignment horizontal="center"/>
    </xf>
    <xf numFmtId="166" fontId="7" fillId="15" borderId="0" xfId="0" applyNumberFormat="1" applyFont="1" applyFill="1" applyBorder="1" applyAlignment="1">
      <alignment horizontal="center" vertical="center"/>
    </xf>
    <xf numFmtId="166" fontId="7" fillId="15" borderId="4" xfId="0" applyNumberFormat="1" applyFont="1" applyFill="1" applyBorder="1" applyAlignment="1">
      <alignment horizontal="center" vertical="center"/>
    </xf>
    <xf numFmtId="1" fontId="7" fillId="15" borderId="0" xfId="0" applyNumberFormat="1" applyFont="1" applyFill="1" applyBorder="1" applyAlignment="1">
      <alignment horizontal="center" vertical="center"/>
    </xf>
    <xf numFmtId="164" fontId="7" fillId="15" borderId="4" xfId="0" applyNumberFormat="1" applyFont="1" applyFill="1" applyBorder="1" applyAlignment="1">
      <alignment horizontal="center" vertical="center"/>
    </xf>
    <xf numFmtId="3" fontId="7" fillId="15" borderId="12" xfId="0" applyNumberFormat="1" applyFont="1" applyFill="1" applyBorder="1"/>
    <xf numFmtId="166" fontId="7" fillId="15" borderId="8" xfId="0" applyNumberFormat="1" applyFont="1" applyFill="1" applyBorder="1" applyAlignment="1">
      <alignment horizontal="center"/>
    </xf>
    <xf numFmtId="2" fontId="7" fillId="15" borderId="8" xfId="0" applyNumberFormat="1" applyFont="1" applyFill="1" applyBorder="1" applyAlignment="1">
      <alignment horizontal="center"/>
    </xf>
    <xf numFmtId="1" fontId="7" fillId="15" borderId="8" xfId="0" applyNumberFormat="1" applyFont="1" applyFill="1" applyBorder="1" applyAlignment="1">
      <alignment horizontal="center" vertical="center"/>
    </xf>
    <xf numFmtId="164" fontId="7" fillId="15" borderId="13" xfId="0" applyNumberFormat="1" applyFont="1" applyFill="1" applyBorder="1" applyAlignment="1">
      <alignment horizontal="center" vertical="center"/>
    </xf>
    <xf numFmtId="3" fontId="9" fillId="0" borderId="12" xfId="0" applyNumberFormat="1" applyFont="1" applyBorder="1"/>
    <xf numFmtId="2" fontId="0" fillId="0" borderId="8" xfId="0" applyNumberFormat="1" applyBorder="1" applyAlignment="1">
      <alignment horizontal="center"/>
    </xf>
    <xf numFmtId="1" fontId="9" fillId="0" borderId="8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9" fillId="20" borderId="1" xfId="0" applyNumberFormat="1" applyFont="1" applyFill="1" applyBorder="1" applyAlignment="1">
      <alignment horizontal="center" vertical="center"/>
    </xf>
    <xf numFmtId="168" fontId="0" fillId="15" borderId="1" xfId="0" applyNumberFormat="1" applyFill="1" applyBorder="1" applyAlignment="1">
      <alignment horizontal="center" vertical="center"/>
    </xf>
    <xf numFmtId="0" fontId="12" fillId="15" borderId="7" xfId="0" applyFont="1" applyFill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1" fillId="15" borderId="5" xfId="0" applyFont="1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13" fillId="0" borderId="9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0" fillId="9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17" fillId="9" borderId="9" xfId="0" applyFont="1" applyFill="1" applyBorder="1" applyAlignment="1">
      <alignment horizontal="center"/>
    </xf>
    <xf numFmtId="0" fontId="17" fillId="9" borderId="10" xfId="0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0" fontId="17" fillId="9" borderId="12" xfId="0" applyFont="1" applyFill="1" applyBorder="1" applyAlignment="1">
      <alignment horizontal="center"/>
    </xf>
    <xf numFmtId="0" fontId="17" fillId="9" borderId="8" xfId="0" applyFont="1" applyFill="1" applyBorder="1" applyAlignment="1">
      <alignment horizontal="center"/>
    </xf>
    <xf numFmtId="0" fontId="17" fillId="9" borderId="13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0" fillId="19" borderId="7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9" fillId="10" borderId="9" xfId="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9" fillId="10" borderId="10" xfId="0" applyFont="1" applyFill="1" applyBorder="1" applyAlignment="1">
      <alignment horizontal="center" vertical="center" wrapText="1"/>
    </xf>
    <xf numFmtId="0" fontId="9" fillId="10" borderId="0" xfId="0" applyFont="1" applyFill="1" applyBorder="1" applyAlignment="1">
      <alignment horizontal="center" vertical="center" wrapText="1"/>
    </xf>
    <xf numFmtId="0" fontId="9" fillId="10" borderId="11" xfId="0" applyFont="1" applyFill="1" applyBorder="1" applyAlignment="1">
      <alignment horizontal="center" vertical="center" wrapText="1"/>
    </xf>
    <xf numFmtId="0" fontId="9" fillId="10" borderId="4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9" fillId="15" borderId="0" xfId="0" applyFont="1" applyFill="1" applyBorder="1" applyAlignment="1">
      <alignment horizontal="center"/>
    </xf>
    <xf numFmtId="0" fontId="7" fillId="16" borderId="5" xfId="0" applyFont="1" applyFill="1" applyBorder="1" applyAlignment="1">
      <alignment horizontal="center"/>
    </xf>
    <xf numFmtId="0" fontId="7" fillId="16" borderId="6" xfId="0" applyFont="1" applyFill="1" applyBorder="1" applyAlignment="1">
      <alignment horizontal="center"/>
    </xf>
    <xf numFmtId="0" fontId="7" fillId="16" borderId="7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9" fillId="16" borderId="6" xfId="0" applyFont="1" applyFill="1" applyBorder="1" applyAlignment="1">
      <alignment horizontal="center"/>
    </xf>
    <xf numFmtId="0" fontId="9" fillId="16" borderId="7" xfId="0" applyFont="1" applyFill="1" applyBorder="1" applyAlignment="1">
      <alignment horizontal="center"/>
    </xf>
  </cellXfs>
  <cellStyles count="10">
    <cellStyle name="Měna 2" xfId="2" xr:uid="{00000000-0005-0000-0000-000000000000}"/>
    <cellStyle name="Měna 3" xfId="3" xr:uid="{00000000-0005-0000-0000-000001000000}"/>
    <cellStyle name="Normal 2" xfId="1" xr:uid="{00000000-0005-0000-0000-000002000000}"/>
    <cellStyle name="Normal 3" xfId="7" xr:uid="{00000000-0005-0000-0000-000003000000}"/>
    <cellStyle name="Normal 4" xfId="8" xr:uid="{00000000-0005-0000-0000-000004000000}"/>
    <cellStyle name="Normal_Feuil2" xfId="4" xr:uid="{00000000-0005-0000-0000-000005000000}"/>
    <cellStyle name="Normální 2" xfId="5" xr:uid="{00000000-0005-0000-0000-000006000000}"/>
    <cellStyle name="Normální 3" xfId="6" xr:uid="{00000000-0005-0000-0000-000007000000}"/>
    <cellStyle name="Обычный" xfId="0" builtinId="0"/>
    <cellStyle name="Обычный 2" xfId="9" xr:uid="{00000000-0005-0000-0000-000009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0000"/>
      <color rgb="FF00FF00"/>
      <color rgb="FF99FF99"/>
      <color rgb="FFCCFFCC"/>
      <color rgb="FFFF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SAS01 occupancy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4783829343089582E-2"/>
          <c:y val="0.14473190851143608"/>
          <c:w val="0.76872779871823704"/>
          <c:h val="0.70015705295996755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'SAS01'!$I$3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1B54-49BC-BF7D-C24EBEC611DF}"/>
              </c:ext>
            </c:extLst>
          </c:dPt>
          <c:val>
            <c:numRef>
              <c:f>'SAS01'!$I$4:$I$15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422.68404367735121</c:v>
                </c:pt>
                <c:pt idx="3">
                  <c:v>422.68404367735121</c:v>
                </c:pt>
                <c:pt idx="4">
                  <c:v>422.68404367735121</c:v>
                </c:pt>
                <c:pt idx="5">
                  <c:v>422.68404367735121</c:v>
                </c:pt>
                <c:pt idx="6">
                  <c:v>422.68404367735121</c:v>
                </c:pt>
                <c:pt idx="7">
                  <c:v>281.78936245156746</c:v>
                </c:pt>
                <c:pt idx="8">
                  <c:v>422.68404367735121</c:v>
                </c:pt>
                <c:pt idx="9">
                  <c:v>422.68404367735121</c:v>
                </c:pt>
                <c:pt idx="10">
                  <c:v>422.68404367735121</c:v>
                </c:pt>
                <c:pt idx="11">
                  <c:v>422.68404367735121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B1-4C47-8C0C-50326BAFFBF3}"/>
            </c:ext>
          </c:extLst>
        </c:ser>
        <c:ser>
          <c:idx val="4"/>
          <c:order val="2"/>
          <c:tx>
            <c:strRef>
              <c:f>'SAS01'!$L$3</c:f>
              <c:strCache>
                <c:ptCount val="1"/>
                <c:pt idx="0">
                  <c:v>Remaining Hrs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>
              <a:innerShdw blurRad="114300">
                <a:schemeClr val="accent5">
                  <a:lumMod val="60000"/>
                </a:schemeClr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8CC5-4DF6-8EFD-D63AF0B3817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E-8CC5-4DF6-8EFD-D63AF0B38170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1627-4154-AEDD-F542B1BFCCC0}"/>
              </c:ext>
            </c:extLst>
          </c:dPt>
          <c:val>
            <c:numRef>
              <c:f>'SAS01'!$L$4:$L$15</c:f>
              <c:numCache>
                <c:formatCode>0</c:formatCode>
                <c:ptCount val="12"/>
                <c:pt idx="0">
                  <c:v>360</c:v>
                </c:pt>
                <c:pt idx="1">
                  <c:v>456</c:v>
                </c:pt>
                <c:pt idx="2">
                  <c:v>81.315956322648788</c:v>
                </c:pt>
                <c:pt idx="3">
                  <c:v>105.31595632264879</c:v>
                </c:pt>
                <c:pt idx="4">
                  <c:v>33.315956322648788</c:v>
                </c:pt>
                <c:pt idx="5">
                  <c:v>81.315956322648788</c:v>
                </c:pt>
                <c:pt idx="6">
                  <c:v>-14.684043677351212</c:v>
                </c:pt>
                <c:pt idx="7">
                  <c:v>6.210637548432544</c:v>
                </c:pt>
                <c:pt idx="8">
                  <c:v>105.31595632264879</c:v>
                </c:pt>
                <c:pt idx="9">
                  <c:v>81.315956322648788</c:v>
                </c:pt>
                <c:pt idx="10">
                  <c:v>57.315956322648788</c:v>
                </c:pt>
                <c:pt idx="11">
                  <c:v>9.3159563226487876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B1-4C47-8C0C-50326BAFF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524032"/>
        <c:axId val="106546304"/>
      </c:barChart>
      <c:lineChart>
        <c:grouping val="standard"/>
        <c:varyColors val="0"/>
        <c:ser>
          <c:idx val="1"/>
          <c:order val="0"/>
          <c:tx>
            <c:strRef>
              <c:f>'SAS01'!$S$3</c:f>
              <c:strCache>
                <c:ptCount val="1"/>
                <c:pt idx="0">
                  <c:v>Max Capacity (3 shifts) 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'SAS01'!$H$4:$H$15</c:f>
              <c:numCache>
                <c:formatCode>dd/mm/yy;@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'SAS01'!$S$4:$S$15</c:f>
              <c:numCache>
                <c:formatCode>0</c:formatCode>
                <c:ptCount val="12"/>
                <c:pt idx="0">
                  <c:v>360</c:v>
                </c:pt>
                <c:pt idx="1">
                  <c:v>456</c:v>
                </c:pt>
                <c:pt idx="2">
                  <c:v>528</c:v>
                </c:pt>
                <c:pt idx="3">
                  <c:v>528</c:v>
                </c:pt>
                <c:pt idx="4">
                  <c:v>456</c:v>
                </c:pt>
                <c:pt idx="5">
                  <c:v>504</c:v>
                </c:pt>
                <c:pt idx="6">
                  <c:v>408</c:v>
                </c:pt>
                <c:pt idx="7">
                  <c:v>288</c:v>
                </c:pt>
                <c:pt idx="8">
                  <c:v>528</c:v>
                </c:pt>
                <c:pt idx="9">
                  <c:v>504</c:v>
                </c:pt>
                <c:pt idx="10">
                  <c:v>480</c:v>
                </c:pt>
                <c:pt idx="11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B1-4C47-8C0C-50326BAFFBF3}"/>
            </c:ext>
          </c:extLst>
        </c:ser>
        <c:ser>
          <c:idx val="5"/>
          <c:order val="3"/>
          <c:tx>
            <c:strRef>
              <c:f>'SAS01'!$R$3</c:f>
              <c:strCache>
                <c:ptCount val="1"/>
                <c:pt idx="0">
                  <c:v>Max capacity (2 shifts) 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'SAS01'!$R$4:$R$15</c:f>
              <c:numCache>
                <c:formatCode>0</c:formatCode>
                <c:ptCount val="12"/>
                <c:pt idx="0">
                  <c:v>240</c:v>
                </c:pt>
                <c:pt idx="1">
                  <c:v>304</c:v>
                </c:pt>
                <c:pt idx="2">
                  <c:v>352</c:v>
                </c:pt>
                <c:pt idx="3">
                  <c:v>352</c:v>
                </c:pt>
                <c:pt idx="4">
                  <c:v>304</c:v>
                </c:pt>
                <c:pt idx="5">
                  <c:v>336</c:v>
                </c:pt>
                <c:pt idx="6">
                  <c:v>272</c:v>
                </c:pt>
                <c:pt idx="7">
                  <c:v>192</c:v>
                </c:pt>
                <c:pt idx="8">
                  <c:v>352</c:v>
                </c:pt>
                <c:pt idx="9">
                  <c:v>336</c:v>
                </c:pt>
                <c:pt idx="10">
                  <c:v>320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B1-4C47-8C0C-50326BAFFBF3}"/>
            </c:ext>
          </c:extLst>
        </c:ser>
        <c:ser>
          <c:idx val="6"/>
          <c:order val="4"/>
          <c:tx>
            <c:strRef>
              <c:f>'SAS01'!$Q$3</c:f>
              <c:strCache>
                <c:ptCount val="1"/>
                <c:pt idx="0">
                  <c:v>Max capacity (1 shift)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'SAS01'!$Q$4:$Q$15</c:f>
              <c:numCache>
                <c:formatCode>General</c:formatCode>
                <c:ptCount val="12"/>
                <c:pt idx="0">
                  <c:v>120</c:v>
                </c:pt>
                <c:pt idx="1">
                  <c:v>152</c:v>
                </c:pt>
                <c:pt idx="2">
                  <c:v>176</c:v>
                </c:pt>
                <c:pt idx="3">
                  <c:v>176</c:v>
                </c:pt>
                <c:pt idx="4">
                  <c:v>152</c:v>
                </c:pt>
                <c:pt idx="5">
                  <c:v>168</c:v>
                </c:pt>
                <c:pt idx="6">
                  <c:v>136</c:v>
                </c:pt>
                <c:pt idx="7">
                  <c:v>96</c:v>
                </c:pt>
                <c:pt idx="8">
                  <c:v>176</c:v>
                </c:pt>
                <c:pt idx="9">
                  <c:v>168</c:v>
                </c:pt>
                <c:pt idx="10">
                  <c:v>160</c:v>
                </c:pt>
                <c:pt idx="11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B1-4C47-8C0C-50326BAFF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24032"/>
        <c:axId val="106546304"/>
      </c:lineChart>
      <c:catAx>
        <c:axId val="10652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546304"/>
        <c:crosses val="autoZero"/>
        <c:auto val="1"/>
        <c:lblAlgn val="ctr"/>
        <c:lblOffset val="100"/>
        <c:noMultiLvlLbl val="0"/>
      </c:catAx>
      <c:valAx>
        <c:axId val="1065463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52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02999768707077"/>
          <c:y val="3.6083621842989494E-2"/>
          <c:w val="0.14657787029494876"/>
          <c:h val="0.31267589605773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 / Fact SAS01 202</a:t>
            </a:r>
            <a:r>
              <a:rPr lang="ru-RU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218990568762639E-2"/>
          <c:y val="0.15123343527013253"/>
          <c:w val="0.76925783320147179"/>
          <c:h val="0.75417627842391266"/>
        </c:manualLayout>
      </c:layout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'SAS01'!$H$4:$H$15</c:f>
              <c:numCache>
                <c:formatCode>dd/mm/yy;@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'SAS01'!$J$4:$J$15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305.27180932253145</c:v>
                </c:pt>
                <c:pt idx="3">
                  <c:v>436.77351179992957</c:v>
                </c:pt>
                <c:pt idx="4">
                  <c:v>190.20781965480805</c:v>
                </c:pt>
                <c:pt idx="5">
                  <c:v>387.4603733709053</c:v>
                </c:pt>
                <c:pt idx="6">
                  <c:v>359.28143712574854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9-442F-BCC8-4976766BFADB}"/>
            </c:ext>
          </c:extLst>
        </c:ser>
        <c:ser>
          <c:idx val="1"/>
          <c:order val="1"/>
          <c:tx>
            <c:v>Plan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'SAS01'!$H$4:$H$15</c:f>
              <c:numCache>
                <c:formatCode>dd/mm/yy;@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'SAS01'!$I$4:$I$15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422.68404367735121</c:v>
                </c:pt>
                <c:pt idx="3">
                  <c:v>422.68404367735121</c:v>
                </c:pt>
                <c:pt idx="4">
                  <c:v>422.68404367735121</c:v>
                </c:pt>
                <c:pt idx="5">
                  <c:v>422.68404367735121</c:v>
                </c:pt>
                <c:pt idx="6">
                  <c:v>422.68404367735121</c:v>
                </c:pt>
                <c:pt idx="7">
                  <c:v>281.78936245156746</c:v>
                </c:pt>
                <c:pt idx="8">
                  <c:v>422.68404367735121</c:v>
                </c:pt>
                <c:pt idx="9">
                  <c:v>422.68404367735121</c:v>
                </c:pt>
                <c:pt idx="10">
                  <c:v>422.68404367735121</c:v>
                </c:pt>
                <c:pt idx="11">
                  <c:v>422.68404367735121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9-442F-BCC8-4976766B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226936"/>
        <c:axId val="572230216"/>
      </c:lineChart>
      <c:dateAx>
        <c:axId val="572226936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230216"/>
        <c:crosses val="autoZero"/>
        <c:auto val="1"/>
        <c:lblOffset val="100"/>
        <c:baseTimeUnit val="months"/>
      </c:dateAx>
      <c:valAx>
        <c:axId val="57223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22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71924801265862"/>
          <c:y val="0.43137566519781367"/>
          <c:w val="8.3897976867724058E-2"/>
          <c:h val="0.137615642081437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'SAS01'!$AC$3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9525" cap="flat" cmpd="sng" algn="ctr">
              <a:solidFill>
                <a:srgbClr val="00B050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'SAS01'!$AB$4:$AB$15</c:f>
              <c:strCache>
                <c:ptCount val="12"/>
                <c:pt idx="0">
                  <c:v>January</c:v>
                </c:pt>
                <c:pt idx="1">
                  <c:v>Frebruary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'SAS01'!$AC$4:$AC$15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2-4D37-A33A-AD2FDDDF05FD}"/>
            </c:ext>
          </c:extLst>
        </c:ser>
        <c:ser>
          <c:idx val="2"/>
          <c:order val="2"/>
          <c:tx>
            <c:strRef>
              <c:f>'SAS01'!$AF$3</c:f>
              <c:strCache>
                <c:ptCount val="1"/>
                <c:pt idx="0">
                  <c:v>Remaining Hrs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rgbClr val="00B050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FE-40A9-8E9A-E0938FD7238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5FE-40A9-8E9A-E0938FD7238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65FE-40A9-8E9A-E0938FD7238E}"/>
              </c:ext>
            </c:extLst>
          </c:dPt>
          <c:cat>
            <c:strRef>
              <c:f>'SAS01'!$AB$4:$AB$15</c:f>
              <c:strCache>
                <c:ptCount val="12"/>
                <c:pt idx="0">
                  <c:v>January</c:v>
                </c:pt>
                <c:pt idx="1">
                  <c:v>Frebruary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'SAS01'!$AF$4:$AF$15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32-4D37-A33A-AD2FDDDF0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73093048"/>
        <c:axId val="673086816"/>
      </c:barChart>
      <c:lineChart>
        <c:grouping val="standard"/>
        <c:varyColors val="0"/>
        <c:ser>
          <c:idx val="0"/>
          <c:order val="0"/>
          <c:tx>
            <c:strRef>
              <c:f>'SAS01'!$AE$3</c:f>
              <c:strCache>
                <c:ptCount val="1"/>
                <c:pt idx="0">
                  <c:v>Max Capacity </c:v>
                </c:pt>
              </c:strCache>
            </c:strRef>
          </c:tx>
          <c:spPr>
            <a:ln w="31750" cap="rnd" cmpd="sng">
              <a:solidFill>
                <a:srgbClr val="FF0000"/>
              </a:solidFill>
              <a:prstDash val="sysDash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'SAS01'!$AB$4:$AB$15</c:f>
              <c:strCache>
                <c:ptCount val="12"/>
                <c:pt idx="0">
                  <c:v>January</c:v>
                </c:pt>
                <c:pt idx="1">
                  <c:v>Frebruary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'SAS01'!$AE$4:$AE$15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2-4D37-A33A-AD2FDDDF0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093048"/>
        <c:axId val="673086816"/>
      </c:lineChart>
      <c:catAx>
        <c:axId val="67309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086816"/>
        <c:crosses val="autoZero"/>
        <c:auto val="1"/>
        <c:lblAlgn val="ctr"/>
        <c:lblOffset val="100"/>
        <c:noMultiLvlLbl val="0"/>
      </c:catAx>
      <c:valAx>
        <c:axId val="6730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09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957904035281174E-2"/>
          <c:y val="0.88946704578594338"/>
          <c:w val="0.4498561558004352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57152</xdr:rowOff>
    </xdr:from>
    <xdr:to>
      <xdr:col>3</xdr:col>
      <xdr:colOff>523875</xdr:colOff>
      <xdr:row>1</xdr:row>
      <xdr:rowOff>102780</xdr:rowOff>
    </xdr:to>
    <xdr:pic>
      <xdr:nvPicPr>
        <xdr:cNvPr id="2" name="Рисунок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7152"/>
          <a:ext cx="1933575" cy="4361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1904</xdr:rowOff>
    </xdr:from>
    <xdr:to>
      <xdr:col>19</xdr:col>
      <xdr:colOff>9525</xdr:colOff>
      <xdr:row>32</xdr:row>
      <xdr:rowOff>47623</xdr:rowOff>
    </xdr:to>
    <xdr:graphicFrame macro="">
      <xdr:nvGraphicFramePr>
        <xdr:cNvPr id="3" name="Chart 2" descr="ffff" title="fffffffff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133349</xdr:colOff>
      <xdr:row>34</xdr:row>
      <xdr:rowOff>85724</xdr:rowOff>
    </xdr:from>
    <xdr:to>
      <xdr:col>19</xdr:col>
      <xdr:colOff>19049</xdr:colOff>
      <xdr:row>50</xdr:row>
      <xdr:rowOff>152399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9524</xdr:colOff>
      <xdr:row>15</xdr:row>
      <xdr:rowOff>180975</xdr:rowOff>
    </xdr:from>
    <xdr:to>
      <xdr:col>33</xdr:col>
      <xdr:colOff>9524</xdr:colOff>
      <xdr:row>30</xdr:row>
      <xdr:rowOff>66675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/>
      <a:bodyPr wrap="square" rtlCol="0"/>
      <a:lstStyle>
        <a:defPPr>
          <a:defRPr sz="1400" b="1">
            <a:solidFill>
              <a:sysClr val="windowText" lastClr="000000"/>
            </a:solidFill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1:DE24"/>
  <sheetViews>
    <sheetView tabSelected="1" zoomScaleNormal="100" workbookViewId="0">
      <pane ySplit="4" topLeftCell="A5" activePane="bottomLeft" state="frozen"/>
      <selection pane="bottomLeft" activeCell="U8" sqref="U8"/>
    </sheetView>
  </sheetViews>
  <sheetFormatPr defaultColWidth="9.140625" defaultRowHeight="15" x14ac:dyDescent="0.25"/>
  <cols>
    <col min="1" max="1" width="6.5703125" bestFit="1" customWidth="1"/>
    <col min="2" max="2" width="14" bestFit="1" customWidth="1"/>
    <col min="3" max="3" width="10.28515625" bestFit="1" customWidth="1"/>
    <col min="4" max="5" width="9.42578125" customWidth="1"/>
    <col min="6" max="6" width="11.140625" customWidth="1"/>
    <col min="7" max="7" width="9.28515625" customWidth="1"/>
    <col min="8" max="8" width="8.140625" style="1" customWidth="1"/>
    <col min="9" max="9" width="7.42578125" style="1" customWidth="1"/>
    <col min="10" max="10" width="9.140625" style="1" customWidth="1"/>
    <col min="11" max="11" width="7.42578125" style="1" customWidth="1"/>
    <col min="12" max="12" width="8.85546875" style="1" customWidth="1"/>
    <col min="13" max="13" width="7.42578125" style="1" customWidth="1"/>
    <col min="14" max="14" width="10.28515625" style="1" customWidth="1"/>
    <col min="15" max="15" width="8.85546875" style="1" customWidth="1"/>
    <col min="16" max="26" width="7.42578125" style="1" customWidth="1"/>
    <col min="27" max="27" width="7.42578125" style="1" bestFit="1" customWidth="1"/>
    <col min="28" max="28" width="7.42578125" style="1" customWidth="1"/>
    <col min="29" max="29" width="7.42578125" style="1" bestFit="1" customWidth="1"/>
    <col min="30" max="30" width="7.42578125" style="1" customWidth="1"/>
    <col min="31" max="31" width="5.140625" style="1" customWidth="1"/>
    <col min="32" max="32" width="12.28515625" customWidth="1"/>
    <col min="33" max="33" width="6.5703125" hidden="1" customWidth="1"/>
    <col min="34" max="34" width="8.28515625" hidden="1" customWidth="1"/>
    <col min="35" max="35" width="6.5703125" style="1" hidden="1" customWidth="1"/>
    <col min="36" max="36" width="8.28515625" style="1" hidden="1" customWidth="1"/>
    <col min="37" max="37" width="6.5703125" style="1" hidden="1" customWidth="1"/>
    <col min="38" max="38" width="8.28515625" style="1" hidden="1" customWidth="1"/>
    <col min="39" max="39" width="6.5703125" style="1" hidden="1" customWidth="1"/>
    <col min="40" max="40" width="8.28515625" style="1" hidden="1" customWidth="1"/>
    <col min="41" max="48" width="6.5703125" style="1" hidden="1" customWidth="1"/>
    <col min="49" max="49" width="6.5703125" hidden="1" customWidth="1"/>
    <col min="50" max="50" width="8.28515625" hidden="1" customWidth="1"/>
    <col min="51" max="51" width="6.5703125" hidden="1" customWidth="1"/>
    <col min="52" max="52" width="8.28515625" hidden="1" customWidth="1"/>
    <col min="53" max="53" width="6.5703125" hidden="1" customWidth="1"/>
    <col min="54" max="54" width="5.140625" hidden="1" customWidth="1"/>
    <col min="55" max="55" width="6.5703125" hidden="1" customWidth="1"/>
    <col min="56" max="56" width="5.140625" hidden="1" customWidth="1"/>
    <col min="57" max="57" width="12.28515625" customWidth="1"/>
    <col min="58" max="58" width="12.7109375" customWidth="1"/>
    <col min="59" max="59" width="8.28515625" style="1" bestFit="1" customWidth="1"/>
    <col min="60" max="60" width="5.140625" style="1" customWidth="1"/>
    <col min="61" max="61" width="8.85546875" style="1" bestFit="1" customWidth="1"/>
    <col min="62" max="62" width="5.140625" style="1" customWidth="1"/>
    <col min="63" max="63" width="8.85546875" style="1" bestFit="1" customWidth="1"/>
    <col min="64" max="64" width="5.140625" style="1" customWidth="1"/>
    <col min="65" max="65" width="8.85546875" style="1" customWidth="1"/>
    <col min="66" max="66" width="5.140625" style="1" customWidth="1"/>
    <col min="67" max="67" width="8.85546875" style="1" bestFit="1" customWidth="1"/>
    <col min="68" max="68" width="7.42578125" style="1" customWidth="1"/>
    <col min="69" max="69" width="8.85546875" style="1" bestFit="1" customWidth="1"/>
    <col min="70" max="70" width="5.140625" style="1" customWidth="1"/>
    <col min="71" max="71" width="8.85546875" style="1" bestFit="1" customWidth="1"/>
    <col min="72" max="72" width="5.140625" style="1" customWidth="1"/>
    <col min="73" max="73" width="8.85546875" style="1" bestFit="1" customWidth="1"/>
    <col min="74" max="74" width="5.140625" style="1" customWidth="1"/>
    <col min="75" max="75" width="8.85546875" style="1" bestFit="1" customWidth="1"/>
    <col min="76" max="76" width="5.140625" style="1" customWidth="1"/>
    <col min="77" max="77" width="8.85546875" style="1" bestFit="1" customWidth="1"/>
    <col min="78" max="78" width="5.140625" style="1" customWidth="1"/>
    <col min="79" max="79" width="8.85546875" style="1" bestFit="1" customWidth="1"/>
    <col min="80" max="80" width="5.140625" style="1" customWidth="1"/>
    <col min="81" max="81" width="8.85546875" style="1" bestFit="1" customWidth="1"/>
    <col min="82" max="82" width="5.140625" style="1" customWidth="1"/>
    <col min="83" max="83" width="9.85546875" customWidth="1"/>
    <col min="84" max="84" width="6.5703125" hidden="1" customWidth="1"/>
    <col min="85" max="85" width="5.140625" hidden="1" customWidth="1"/>
    <col min="86" max="86" width="6.5703125" style="1" hidden="1" customWidth="1"/>
    <col min="87" max="87" width="5.140625" style="1" hidden="1" customWidth="1"/>
    <col min="88" max="88" width="6.5703125" style="1" hidden="1" customWidth="1"/>
    <col min="89" max="89" width="5.140625" style="1" hidden="1" customWidth="1"/>
    <col min="90" max="90" width="6.5703125" style="1" hidden="1" customWidth="1"/>
    <col min="91" max="91" width="5.140625" style="1" hidden="1" customWidth="1"/>
    <col min="92" max="94" width="6.5703125" style="1" hidden="1" customWidth="1"/>
    <col min="95" max="95" width="5.140625" style="1" hidden="1" customWidth="1"/>
    <col min="96" max="96" width="6.5703125" style="1" hidden="1" customWidth="1"/>
    <col min="97" max="97" width="5.140625" style="1" hidden="1" customWidth="1"/>
    <col min="98" max="98" width="6.5703125" style="1" hidden="1" customWidth="1"/>
    <col min="99" max="99" width="5.140625" style="1" hidden="1" customWidth="1"/>
    <col min="100" max="100" width="6.5703125" hidden="1" customWidth="1"/>
    <col min="101" max="101" width="5.140625" hidden="1" customWidth="1"/>
    <col min="102" max="102" width="7" hidden="1" customWidth="1"/>
    <col min="103" max="103" width="5.140625" hidden="1" customWidth="1"/>
    <col min="104" max="104" width="7" hidden="1" customWidth="1"/>
    <col min="105" max="105" width="5.140625" hidden="1" customWidth="1"/>
    <col min="106" max="106" width="7" hidden="1" customWidth="1"/>
    <col min="107" max="107" width="5.140625" hidden="1" customWidth="1"/>
    <col min="108" max="109" width="7.7109375" customWidth="1"/>
  </cols>
  <sheetData>
    <row r="1" spans="1:109" ht="30.75" customHeight="1" x14ac:dyDescent="0.25">
      <c r="A1" s="180"/>
      <c r="B1" s="181"/>
      <c r="C1" s="178"/>
      <c r="D1" s="179"/>
      <c r="E1" s="179"/>
      <c r="F1" s="184" t="s">
        <v>24</v>
      </c>
      <c r="G1" s="185"/>
      <c r="H1" s="191">
        <v>2021</v>
      </c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3"/>
      <c r="BG1" s="199">
        <v>2022</v>
      </c>
      <c r="BH1" s="200"/>
      <c r="BI1" s="200"/>
      <c r="BJ1" s="200"/>
      <c r="BK1" s="200"/>
      <c r="BL1" s="200"/>
      <c r="BM1" s="200"/>
      <c r="BN1" s="200"/>
      <c r="BO1" s="200"/>
      <c r="BP1" s="200"/>
      <c r="BQ1" s="200"/>
      <c r="BR1" s="200"/>
      <c r="BS1" s="200"/>
      <c r="BT1" s="200"/>
      <c r="BU1" s="200"/>
      <c r="BV1" s="200"/>
      <c r="BW1" s="200"/>
      <c r="BX1" s="200"/>
      <c r="BY1" s="200"/>
      <c r="BZ1" s="200"/>
      <c r="CA1" s="200"/>
      <c r="CB1" s="200"/>
      <c r="CC1" s="200"/>
      <c r="CD1" s="200"/>
      <c r="CE1" s="200"/>
      <c r="CF1" s="200"/>
      <c r="CG1" s="200"/>
      <c r="CH1" s="200"/>
      <c r="CI1" s="200"/>
      <c r="CJ1" s="200"/>
      <c r="CK1" s="200"/>
      <c r="CL1" s="200"/>
      <c r="CM1" s="200"/>
      <c r="CN1" s="200"/>
      <c r="CO1" s="200"/>
      <c r="CP1" s="200"/>
      <c r="CQ1" s="200"/>
      <c r="CR1" s="200"/>
      <c r="CS1" s="200"/>
      <c r="CT1" s="200"/>
      <c r="CU1" s="200"/>
      <c r="CV1" s="200"/>
      <c r="CW1" s="200"/>
      <c r="CX1" s="200"/>
      <c r="CY1" s="200"/>
      <c r="CZ1" s="200"/>
      <c r="DA1" s="200"/>
      <c r="DB1" s="200"/>
      <c r="DC1" s="200"/>
      <c r="DD1" s="200"/>
      <c r="DE1" s="201"/>
    </row>
    <row r="2" spans="1:109" ht="15.75" customHeight="1" x14ac:dyDescent="0.25">
      <c r="A2" s="180"/>
      <c r="B2" s="181"/>
      <c r="C2" s="178"/>
      <c r="D2" s="179"/>
      <c r="E2" s="179"/>
      <c r="F2" s="186" t="s">
        <v>25</v>
      </c>
      <c r="G2" s="187"/>
      <c r="H2" s="194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5"/>
      <c r="BF2" s="196"/>
      <c r="BG2" s="202"/>
      <c r="BH2" s="203"/>
      <c r="BI2" s="203"/>
      <c r="BJ2" s="203"/>
      <c r="BK2" s="203"/>
      <c r="BL2" s="203"/>
      <c r="BM2" s="203"/>
      <c r="BN2" s="203"/>
      <c r="BO2" s="203"/>
      <c r="BP2" s="203"/>
      <c r="BQ2" s="203"/>
      <c r="BR2" s="203"/>
      <c r="BS2" s="203"/>
      <c r="BT2" s="203"/>
      <c r="BU2" s="203"/>
      <c r="BV2" s="203"/>
      <c r="BW2" s="203"/>
      <c r="BX2" s="203"/>
      <c r="BY2" s="203"/>
      <c r="BZ2" s="203"/>
      <c r="CA2" s="203"/>
      <c r="CB2" s="203"/>
      <c r="CC2" s="203"/>
      <c r="CD2" s="203"/>
      <c r="CE2" s="203"/>
      <c r="CF2" s="203"/>
      <c r="CG2" s="203"/>
      <c r="CH2" s="203"/>
      <c r="CI2" s="203"/>
      <c r="CJ2" s="203"/>
      <c r="CK2" s="203"/>
      <c r="CL2" s="203"/>
      <c r="CM2" s="203"/>
      <c r="CN2" s="203"/>
      <c r="CO2" s="203"/>
      <c r="CP2" s="203"/>
      <c r="CQ2" s="203"/>
      <c r="CR2" s="203"/>
      <c r="CS2" s="203"/>
      <c r="CT2" s="203"/>
      <c r="CU2" s="203"/>
      <c r="CV2" s="203"/>
      <c r="CW2" s="203"/>
      <c r="CX2" s="203"/>
      <c r="CY2" s="203"/>
      <c r="CZ2" s="203"/>
      <c r="DA2" s="203"/>
      <c r="DB2" s="203"/>
      <c r="DC2" s="203"/>
      <c r="DD2" s="203"/>
      <c r="DE2" s="204"/>
    </row>
    <row r="3" spans="1:109" ht="30.75" thickBot="1" x14ac:dyDescent="0.3">
      <c r="A3" s="182" t="s">
        <v>36</v>
      </c>
      <c r="B3" s="182" t="s">
        <v>18</v>
      </c>
      <c r="C3" s="182" t="s">
        <v>200</v>
      </c>
      <c r="D3" s="182" t="s">
        <v>1</v>
      </c>
      <c r="E3" s="182" t="s">
        <v>0</v>
      </c>
      <c r="F3" s="182" t="s">
        <v>199</v>
      </c>
      <c r="G3" s="182" t="s">
        <v>198</v>
      </c>
      <c r="H3" s="198" t="s">
        <v>13</v>
      </c>
      <c r="I3" s="198"/>
      <c r="J3" s="198" t="s">
        <v>14</v>
      </c>
      <c r="K3" s="198"/>
      <c r="L3" s="198" t="s">
        <v>15</v>
      </c>
      <c r="M3" s="198"/>
      <c r="N3" s="197" t="s">
        <v>12</v>
      </c>
      <c r="O3" s="197"/>
      <c r="P3" s="197" t="s">
        <v>16</v>
      </c>
      <c r="Q3" s="197"/>
      <c r="R3" s="197" t="s">
        <v>3</v>
      </c>
      <c r="S3" s="197"/>
      <c r="T3" s="198" t="s">
        <v>4</v>
      </c>
      <c r="U3" s="198"/>
      <c r="V3" s="198" t="s">
        <v>5</v>
      </c>
      <c r="W3" s="198"/>
      <c r="X3" s="198" t="s">
        <v>6</v>
      </c>
      <c r="Y3" s="198"/>
      <c r="Z3" s="197" t="s">
        <v>7</v>
      </c>
      <c r="AA3" s="197"/>
      <c r="AB3" s="197" t="s">
        <v>8</v>
      </c>
      <c r="AC3" s="197"/>
      <c r="AD3" s="197" t="s">
        <v>9</v>
      </c>
      <c r="AE3" s="197"/>
      <c r="AF3" s="210" t="s">
        <v>202</v>
      </c>
      <c r="AG3" s="219" t="s">
        <v>13</v>
      </c>
      <c r="AH3" s="219"/>
      <c r="AI3" s="218" t="s">
        <v>14</v>
      </c>
      <c r="AJ3" s="218"/>
      <c r="AK3" s="190" t="s">
        <v>15</v>
      </c>
      <c r="AL3" s="190"/>
      <c r="AM3" s="189" t="s">
        <v>12</v>
      </c>
      <c r="AN3" s="189"/>
      <c r="AO3" s="188" t="s">
        <v>16</v>
      </c>
      <c r="AP3" s="188"/>
      <c r="AQ3" s="208" t="s">
        <v>3</v>
      </c>
      <c r="AR3" s="208"/>
      <c r="AS3" s="209" t="s">
        <v>4</v>
      </c>
      <c r="AT3" s="209"/>
      <c r="AU3" s="217" t="s">
        <v>5</v>
      </c>
      <c r="AV3" s="217"/>
      <c r="AW3" s="216" t="s">
        <v>6</v>
      </c>
      <c r="AX3" s="216"/>
      <c r="AY3" s="221" t="s">
        <v>7</v>
      </c>
      <c r="AZ3" s="221"/>
      <c r="BA3" s="220" t="s">
        <v>8</v>
      </c>
      <c r="BB3" s="220"/>
      <c r="BC3" s="207" t="s">
        <v>9</v>
      </c>
      <c r="BD3" s="207"/>
      <c r="BE3" s="212" t="s">
        <v>201</v>
      </c>
      <c r="BF3" s="214" t="s">
        <v>203</v>
      </c>
      <c r="BG3" s="205" t="s">
        <v>13</v>
      </c>
      <c r="BH3" s="206"/>
      <c r="BI3" s="206" t="s">
        <v>14</v>
      </c>
      <c r="BJ3" s="206"/>
      <c r="BK3" s="206" t="s">
        <v>15</v>
      </c>
      <c r="BL3" s="206"/>
      <c r="BM3" s="206" t="s">
        <v>12</v>
      </c>
      <c r="BN3" s="206"/>
      <c r="BO3" s="206" t="s">
        <v>16</v>
      </c>
      <c r="BP3" s="206"/>
      <c r="BQ3" s="206" t="s">
        <v>3</v>
      </c>
      <c r="BR3" s="206"/>
      <c r="BS3" s="206" t="s">
        <v>4</v>
      </c>
      <c r="BT3" s="206"/>
      <c r="BU3" s="206" t="s">
        <v>5</v>
      </c>
      <c r="BV3" s="206"/>
      <c r="BW3" s="206" t="s">
        <v>6</v>
      </c>
      <c r="BX3" s="206"/>
      <c r="BY3" s="206" t="s">
        <v>7</v>
      </c>
      <c r="BZ3" s="206"/>
      <c r="CA3" s="206" t="s">
        <v>8</v>
      </c>
      <c r="CB3" s="206"/>
      <c r="CC3" s="206" t="s">
        <v>9</v>
      </c>
      <c r="CD3" s="206"/>
      <c r="CE3" s="15" t="s">
        <v>19</v>
      </c>
      <c r="CF3" s="219" t="s">
        <v>13</v>
      </c>
      <c r="CG3" s="219"/>
      <c r="CH3" s="218" t="s">
        <v>14</v>
      </c>
      <c r="CI3" s="218"/>
      <c r="CJ3" s="190" t="s">
        <v>15</v>
      </c>
      <c r="CK3" s="190"/>
      <c r="CL3" s="189" t="s">
        <v>12</v>
      </c>
      <c r="CM3" s="189"/>
      <c r="CN3" s="188" t="s">
        <v>16</v>
      </c>
      <c r="CO3" s="188"/>
      <c r="CP3" s="208" t="s">
        <v>3</v>
      </c>
      <c r="CQ3" s="208"/>
      <c r="CR3" s="209" t="s">
        <v>4</v>
      </c>
      <c r="CS3" s="209"/>
      <c r="CT3" s="217" t="s">
        <v>5</v>
      </c>
      <c r="CU3" s="217"/>
      <c r="CV3" s="216" t="s">
        <v>6</v>
      </c>
      <c r="CW3" s="216"/>
      <c r="CX3" s="221" t="s">
        <v>7</v>
      </c>
      <c r="CY3" s="221"/>
      <c r="CZ3" s="220" t="s">
        <v>8</v>
      </c>
      <c r="DA3" s="220"/>
      <c r="DB3" s="207" t="s">
        <v>9</v>
      </c>
      <c r="DC3" s="207"/>
      <c r="DD3" s="15" t="s">
        <v>21</v>
      </c>
      <c r="DE3" s="15" t="s">
        <v>23</v>
      </c>
    </row>
    <row r="4" spans="1:109" x14ac:dyDescent="0.25">
      <c r="A4" s="183"/>
      <c r="B4" s="183"/>
      <c r="C4" s="183"/>
      <c r="D4" s="183"/>
      <c r="E4" s="183"/>
      <c r="F4" s="183"/>
      <c r="G4" s="183"/>
      <c r="H4" s="151" t="s">
        <v>45</v>
      </c>
      <c r="I4" s="151" t="s">
        <v>46</v>
      </c>
      <c r="J4" s="151" t="s">
        <v>45</v>
      </c>
      <c r="K4" s="151" t="s">
        <v>46</v>
      </c>
      <c r="L4" s="151" t="s">
        <v>45</v>
      </c>
      <c r="M4" s="151" t="s">
        <v>46</v>
      </c>
      <c r="N4" s="142" t="s">
        <v>45</v>
      </c>
      <c r="O4" s="142" t="s">
        <v>46</v>
      </c>
      <c r="P4" s="142" t="s">
        <v>45</v>
      </c>
      <c r="Q4" s="142" t="s">
        <v>46</v>
      </c>
      <c r="R4" s="142" t="s">
        <v>45</v>
      </c>
      <c r="S4" s="142" t="s">
        <v>46</v>
      </c>
      <c r="T4" s="151" t="s">
        <v>45</v>
      </c>
      <c r="U4" s="151" t="s">
        <v>46</v>
      </c>
      <c r="V4" s="151" t="s">
        <v>45</v>
      </c>
      <c r="W4" s="151" t="s">
        <v>46</v>
      </c>
      <c r="X4" s="151" t="s">
        <v>45</v>
      </c>
      <c r="Y4" s="151" t="s">
        <v>46</v>
      </c>
      <c r="Z4" s="142" t="s">
        <v>45</v>
      </c>
      <c r="AA4" s="142" t="s">
        <v>46</v>
      </c>
      <c r="AB4" s="142" t="s">
        <v>45</v>
      </c>
      <c r="AC4" s="142" t="s">
        <v>46</v>
      </c>
      <c r="AD4" s="142" t="s">
        <v>45</v>
      </c>
      <c r="AE4" s="142" t="s">
        <v>46</v>
      </c>
      <c r="AF4" s="211"/>
      <c r="AG4" s="42" t="s">
        <v>45</v>
      </c>
      <c r="AH4" s="42" t="s">
        <v>46</v>
      </c>
      <c r="AI4" s="40" t="s">
        <v>45</v>
      </c>
      <c r="AJ4" s="40" t="s">
        <v>46</v>
      </c>
      <c r="AK4" s="43" t="s">
        <v>45</v>
      </c>
      <c r="AL4" s="43" t="s">
        <v>46</v>
      </c>
      <c r="AM4" s="44" t="s">
        <v>45</v>
      </c>
      <c r="AN4" s="44" t="s">
        <v>46</v>
      </c>
      <c r="AO4" s="45" t="s">
        <v>45</v>
      </c>
      <c r="AP4" s="45" t="s">
        <v>46</v>
      </c>
      <c r="AQ4" s="46" t="s">
        <v>45</v>
      </c>
      <c r="AR4" s="46" t="s">
        <v>46</v>
      </c>
      <c r="AS4" s="47" t="s">
        <v>45</v>
      </c>
      <c r="AT4" s="47" t="s">
        <v>46</v>
      </c>
      <c r="AU4" s="48" t="s">
        <v>45</v>
      </c>
      <c r="AV4" s="48" t="s">
        <v>46</v>
      </c>
      <c r="AW4" s="49" t="s">
        <v>45</v>
      </c>
      <c r="AX4" s="49" t="s">
        <v>46</v>
      </c>
      <c r="AY4" s="50" t="s">
        <v>45</v>
      </c>
      <c r="AZ4" s="50" t="s">
        <v>46</v>
      </c>
      <c r="BA4" s="51" t="s">
        <v>45</v>
      </c>
      <c r="BB4" s="51" t="s">
        <v>46</v>
      </c>
      <c r="BC4" s="52" t="s">
        <v>45</v>
      </c>
      <c r="BD4" s="52" t="s">
        <v>46</v>
      </c>
      <c r="BE4" s="213"/>
      <c r="BF4" s="215"/>
      <c r="BG4" s="154" t="s">
        <v>45</v>
      </c>
      <c r="BH4" s="150" t="s">
        <v>46</v>
      </c>
      <c r="BI4" s="150" t="s">
        <v>45</v>
      </c>
      <c r="BJ4" s="150" t="s">
        <v>46</v>
      </c>
      <c r="BK4" s="150" t="s">
        <v>45</v>
      </c>
      <c r="BL4" s="150" t="s">
        <v>46</v>
      </c>
      <c r="BM4" s="150" t="s">
        <v>45</v>
      </c>
      <c r="BN4" s="150" t="s">
        <v>46</v>
      </c>
      <c r="BO4" s="150" t="s">
        <v>45</v>
      </c>
      <c r="BP4" s="150" t="s">
        <v>46</v>
      </c>
      <c r="BQ4" s="150" t="s">
        <v>45</v>
      </c>
      <c r="BR4" s="150" t="s">
        <v>46</v>
      </c>
      <c r="BS4" s="150" t="s">
        <v>45</v>
      </c>
      <c r="BT4" s="150" t="s">
        <v>46</v>
      </c>
      <c r="BU4" s="150" t="s">
        <v>45</v>
      </c>
      <c r="BV4" s="150" t="s">
        <v>46</v>
      </c>
      <c r="BW4" s="150" t="s">
        <v>45</v>
      </c>
      <c r="BX4" s="150" t="s">
        <v>46</v>
      </c>
      <c r="BY4" s="150" t="s">
        <v>45</v>
      </c>
      <c r="BZ4" s="150" t="s">
        <v>46</v>
      </c>
      <c r="CA4" s="150" t="s">
        <v>45</v>
      </c>
      <c r="CB4" s="150" t="s">
        <v>46</v>
      </c>
      <c r="CC4" s="150" t="s">
        <v>45</v>
      </c>
      <c r="CD4" s="150" t="s">
        <v>46</v>
      </c>
      <c r="CE4" s="41"/>
      <c r="CF4" s="42" t="s">
        <v>45</v>
      </c>
      <c r="CG4" s="42" t="s">
        <v>46</v>
      </c>
      <c r="CH4" s="40" t="s">
        <v>45</v>
      </c>
      <c r="CI4" s="40" t="s">
        <v>46</v>
      </c>
      <c r="CJ4" s="43" t="s">
        <v>45</v>
      </c>
      <c r="CK4" s="43" t="s">
        <v>46</v>
      </c>
      <c r="CL4" s="44" t="s">
        <v>45</v>
      </c>
      <c r="CM4" s="44" t="s">
        <v>46</v>
      </c>
      <c r="CN4" s="45" t="s">
        <v>45</v>
      </c>
      <c r="CO4" s="45" t="s">
        <v>46</v>
      </c>
      <c r="CP4" s="46" t="s">
        <v>45</v>
      </c>
      <c r="CQ4" s="46" t="s">
        <v>46</v>
      </c>
      <c r="CR4" s="47" t="s">
        <v>45</v>
      </c>
      <c r="CS4" s="47" t="s">
        <v>46</v>
      </c>
      <c r="CT4" s="48" t="s">
        <v>45</v>
      </c>
      <c r="CU4" s="48" t="s">
        <v>46</v>
      </c>
      <c r="CV4" s="49" t="s">
        <v>45</v>
      </c>
      <c r="CW4" s="49" t="s">
        <v>46</v>
      </c>
      <c r="CX4" s="50" t="s">
        <v>45</v>
      </c>
      <c r="CY4" s="50" t="s">
        <v>46</v>
      </c>
      <c r="CZ4" s="51" t="s">
        <v>45</v>
      </c>
      <c r="DA4" s="51" t="s">
        <v>46</v>
      </c>
      <c r="DB4" s="52" t="s">
        <v>45</v>
      </c>
      <c r="DC4" s="52" t="s">
        <v>46</v>
      </c>
      <c r="DD4" s="41"/>
      <c r="DE4" s="41"/>
    </row>
    <row r="5" spans="1:109" x14ac:dyDescent="0.25">
      <c r="A5" s="144">
        <f>ROW()-4</f>
        <v>1</v>
      </c>
      <c r="B5" s="145" t="s">
        <v>204</v>
      </c>
      <c r="C5" s="147">
        <v>4.8</v>
      </c>
      <c r="D5" s="147">
        <v>16.7</v>
      </c>
      <c r="E5" s="147">
        <v>0.85</v>
      </c>
      <c r="F5" s="146">
        <f>D5*E5*60</f>
        <v>851.69999999999993</v>
      </c>
      <c r="G5" s="148">
        <v>1000</v>
      </c>
      <c r="H5" s="152"/>
      <c r="I5" s="152"/>
      <c r="J5" s="152"/>
      <c r="K5" s="152"/>
      <c r="L5" s="152"/>
      <c r="M5" s="152"/>
      <c r="N5" s="143"/>
      <c r="O5" s="143"/>
      <c r="P5" s="143"/>
      <c r="Q5" s="143"/>
      <c r="R5" s="143"/>
      <c r="S5" s="143"/>
      <c r="T5" s="152"/>
      <c r="U5" s="152"/>
      <c r="V5" s="152"/>
      <c r="W5" s="152"/>
      <c r="X5" s="152"/>
      <c r="Y5" s="152"/>
      <c r="Z5" s="143"/>
      <c r="AA5" s="143"/>
      <c r="AB5" s="143"/>
      <c r="AC5" s="143"/>
      <c r="AD5" s="143"/>
      <c r="AE5" s="143"/>
      <c r="AF5" s="156">
        <f>SUM(H5:AD5)</f>
        <v>0</v>
      </c>
      <c r="AG5" s="157">
        <f>H5/$F5</f>
        <v>0</v>
      </c>
      <c r="AH5" s="158">
        <f>I5/$G5</f>
        <v>0</v>
      </c>
      <c r="AI5" s="157">
        <f>J5/$F5</f>
        <v>0</v>
      </c>
      <c r="AJ5" s="158">
        <f>K5/$G5</f>
        <v>0</v>
      </c>
      <c r="AK5" s="157">
        <f>L5/$F5</f>
        <v>0</v>
      </c>
      <c r="AL5" s="158">
        <f>M5/$G5</f>
        <v>0</v>
      </c>
      <c r="AM5" s="157">
        <f>N5/$F5</f>
        <v>0</v>
      </c>
      <c r="AN5" s="158">
        <f>O5/$G5</f>
        <v>0</v>
      </c>
      <c r="AO5" s="157">
        <f t="shared" ref="AO5:BD5" si="0">P5/$F5</f>
        <v>0</v>
      </c>
      <c r="AP5" s="158">
        <f t="shared" si="0"/>
        <v>0</v>
      </c>
      <c r="AQ5" s="157">
        <f t="shared" si="0"/>
        <v>0</v>
      </c>
      <c r="AR5" s="158">
        <f t="shared" si="0"/>
        <v>0</v>
      </c>
      <c r="AS5" s="157">
        <f t="shared" si="0"/>
        <v>0</v>
      </c>
      <c r="AT5" s="158">
        <f t="shared" si="0"/>
        <v>0</v>
      </c>
      <c r="AU5" s="157">
        <f t="shared" si="0"/>
        <v>0</v>
      </c>
      <c r="AV5" s="158">
        <f t="shared" si="0"/>
        <v>0</v>
      </c>
      <c r="AW5" s="157">
        <f t="shared" si="0"/>
        <v>0</v>
      </c>
      <c r="AX5" s="158">
        <f t="shared" si="0"/>
        <v>0</v>
      </c>
      <c r="AY5" s="157">
        <f t="shared" si="0"/>
        <v>0</v>
      </c>
      <c r="AZ5" s="158">
        <f t="shared" si="0"/>
        <v>0</v>
      </c>
      <c r="BA5" s="157">
        <f t="shared" si="0"/>
        <v>0</v>
      </c>
      <c r="BB5" s="157">
        <f t="shared" si="0"/>
        <v>0</v>
      </c>
      <c r="BC5" s="157">
        <f t="shared" si="0"/>
        <v>0</v>
      </c>
      <c r="BD5" s="157">
        <f t="shared" si="0"/>
        <v>0</v>
      </c>
      <c r="BE5" s="159">
        <f>SUM(AG5:BC5)/24</f>
        <v>0</v>
      </c>
      <c r="BF5" s="160">
        <f>BE5/12</f>
        <v>0</v>
      </c>
      <c r="BG5" s="155"/>
      <c r="BH5" s="149"/>
      <c r="BI5" s="14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9"/>
      <c r="CB5" s="149"/>
      <c r="CC5" s="149"/>
      <c r="CD5" s="149"/>
      <c r="CE5" s="36">
        <f>SUM(BG5:CC5)</f>
        <v>0</v>
      </c>
      <c r="CF5" s="38">
        <f>BG5/$F5</f>
        <v>0</v>
      </c>
      <c r="CG5" s="38"/>
      <c r="CH5" s="38">
        <f>BI5/$F5</f>
        <v>0</v>
      </c>
      <c r="CI5" s="38"/>
      <c r="CJ5" s="38">
        <f>BK5/$F5</f>
        <v>0</v>
      </c>
      <c r="CK5" s="38"/>
      <c r="CL5" s="38">
        <f>BM5/$F5</f>
        <v>0</v>
      </c>
      <c r="CM5" s="38"/>
      <c r="CN5" s="38">
        <f t="shared" ref="CN5:CR7" si="1">BO5/$F5</f>
        <v>0</v>
      </c>
      <c r="CO5" s="3"/>
      <c r="CP5" s="38">
        <f t="shared" si="1"/>
        <v>0</v>
      </c>
      <c r="CQ5" s="3"/>
      <c r="CR5" s="38">
        <f t="shared" si="1"/>
        <v>0</v>
      </c>
      <c r="CS5" s="38"/>
      <c r="CT5" s="38">
        <f>BU5/$F5</f>
        <v>0</v>
      </c>
      <c r="CU5" s="38"/>
      <c r="CV5" s="38">
        <f>BW5/$F5</f>
        <v>0</v>
      </c>
      <c r="CW5" s="38"/>
      <c r="CX5" s="38">
        <f>BY5/$F5</f>
        <v>0</v>
      </c>
      <c r="CY5" s="38"/>
      <c r="CZ5" s="38">
        <f>CA5/$F5</f>
        <v>0</v>
      </c>
      <c r="DA5" s="38"/>
      <c r="DB5" s="38">
        <f>CC5/$F5</f>
        <v>0</v>
      </c>
      <c r="DC5" s="38"/>
      <c r="DD5" s="39">
        <f>SUM(CF5:DB5)/24</f>
        <v>0</v>
      </c>
      <c r="DE5" s="39">
        <f>DD5/12</f>
        <v>0</v>
      </c>
    </row>
    <row r="6" spans="1:109" x14ac:dyDescent="0.25">
      <c r="A6" s="144">
        <f>ROW()-4</f>
        <v>2</v>
      </c>
      <c r="B6" s="145" t="s">
        <v>205</v>
      </c>
      <c r="C6" s="147">
        <v>4.8</v>
      </c>
      <c r="D6" s="147">
        <v>16.7</v>
      </c>
      <c r="E6" s="147">
        <v>0.85</v>
      </c>
      <c r="F6" s="146">
        <f t="shared" ref="F6:F7" si="2">D6*E6*60</f>
        <v>851.69999999999993</v>
      </c>
      <c r="G6" s="148">
        <v>1000</v>
      </c>
      <c r="H6" s="152"/>
      <c r="I6" s="152"/>
      <c r="J6" s="152"/>
      <c r="K6" s="152"/>
      <c r="L6" s="152"/>
      <c r="M6" s="152"/>
      <c r="N6" s="143"/>
      <c r="O6" s="143"/>
      <c r="P6" s="143"/>
      <c r="Q6" s="143"/>
      <c r="R6" s="143"/>
      <c r="S6" s="143"/>
      <c r="T6" s="152"/>
      <c r="U6" s="152"/>
      <c r="V6" s="152"/>
      <c r="W6" s="152"/>
      <c r="X6" s="152"/>
      <c r="Y6" s="152"/>
      <c r="Z6" s="143"/>
      <c r="AA6" s="143"/>
      <c r="AB6" s="143"/>
      <c r="AC6" s="143"/>
      <c r="AD6" s="143"/>
      <c r="AE6" s="143"/>
      <c r="AF6" s="156">
        <f t="shared" ref="AF6" si="3">SUM(H6:AD6)</f>
        <v>0</v>
      </c>
      <c r="AG6" s="158">
        <f>H6/$F6</f>
        <v>0</v>
      </c>
      <c r="AH6" s="158">
        <f>I6/$G6</f>
        <v>0</v>
      </c>
      <c r="AI6" s="158">
        <f>J6/$F6</f>
        <v>0</v>
      </c>
      <c r="AJ6" s="158">
        <f>K6/$G6</f>
        <v>0</v>
      </c>
      <c r="AK6" s="158">
        <f>L6/$F6</f>
        <v>0</v>
      </c>
      <c r="AL6" s="158">
        <f>M6/$G6</f>
        <v>0</v>
      </c>
      <c r="AM6" s="158">
        <f>N6/$F6</f>
        <v>0</v>
      </c>
      <c r="AN6" s="158">
        <f>O6/$G6</f>
        <v>0</v>
      </c>
      <c r="AO6" s="158">
        <f t="shared" ref="AO6:BD7" si="4">P6/$F6</f>
        <v>0</v>
      </c>
      <c r="AP6" s="158">
        <f t="shared" si="4"/>
        <v>0</v>
      </c>
      <c r="AQ6" s="158">
        <f t="shared" si="4"/>
        <v>0</v>
      </c>
      <c r="AR6" s="158">
        <f t="shared" si="4"/>
        <v>0</v>
      </c>
      <c r="AS6" s="158">
        <f t="shared" si="4"/>
        <v>0</v>
      </c>
      <c r="AT6" s="158">
        <f t="shared" si="4"/>
        <v>0</v>
      </c>
      <c r="AU6" s="158">
        <f t="shared" si="4"/>
        <v>0</v>
      </c>
      <c r="AV6" s="158">
        <f t="shared" si="4"/>
        <v>0</v>
      </c>
      <c r="AW6" s="158">
        <f t="shared" si="4"/>
        <v>0</v>
      </c>
      <c r="AX6" s="158">
        <f t="shared" si="4"/>
        <v>0</v>
      </c>
      <c r="AY6" s="158">
        <f t="shared" si="4"/>
        <v>0</v>
      </c>
      <c r="AZ6" s="158">
        <f t="shared" si="4"/>
        <v>0</v>
      </c>
      <c r="BA6" s="158">
        <f t="shared" si="4"/>
        <v>0</v>
      </c>
      <c r="BB6" s="157">
        <f t="shared" si="4"/>
        <v>0</v>
      </c>
      <c r="BC6" s="158">
        <f t="shared" si="4"/>
        <v>0</v>
      </c>
      <c r="BD6" s="157">
        <f t="shared" si="4"/>
        <v>0</v>
      </c>
      <c r="BE6" s="161">
        <f>SUM(AG6:BC6)/24</f>
        <v>0</v>
      </c>
      <c r="BF6" s="162">
        <f>BE6/12</f>
        <v>0</v>
      </c>
      <c r="BG6" s="155"/>
      <c r="BH6" s="149"/>
      <c r="BI6" s="14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36">
        <f t="shared" ref="CE6:CE7" si="5">SUM(BG6:CC6)</f>
        <v>0</v>
      </c>
      <c r="CF6" s="3">
        <f>BG6/$F6</f>
        <v>0</v>
      </c>
      <c r="CG6" s="3"/>
      <c r="CH6" s="3">
        <f>BI6/$F6</f>
        <v>0</v>
      </c>
      <c r="CI6" s="3"/>
      <c r="CJ6" s="3">
        <f>BK6/$F6</f>
        <v>0</v>
      </c>
      <c r="CK6" s="3"/>
      <c r="CL6" s="3">
        <f>BM6/$F6</f>
        <v>0</v>
      </c>
      <c r="CM6" s="3"/>
      <c r="CN6" s="3">
        <f t="shared" si="1"/>
        <v>0</v>
      </c>
      <c r="CO6" s="3"/>
      <c r="CP6" s="3">
        <f t="shared" si="1"/>
        <v>0</v>
      </c>
      <c r="CQ6" s="3"/>
      <c r="CR6" s="3">
        <f t="shared" si="1"/>
        <v>0</v>
      </c>
      <c r="CS6" s="3"/>
      <c r="CT6" s="3">
        <f>BU6/$F6</f>
        <v>0</v>
      </c>
      <c r="CU6" s="3"/>
      <c r="CV6" s="3">
        <f>BW6/$F6</f>
        <v>0</v>
      </c>
      <c r="CW6" s="3"/>
      <c r="CX6" s="3">
        <f>BY6/$F6</f>
        <v>0</v>
      </c>
      <c r="CY6" s="3"/>
      <c r="CZ6" s="3">
        <f>CA6/$F6</f>
        <v>0</v>
      </c>
      <c r="DA6" s="3"/>
      <c r="DB6" s="3">
        <f>CC6/$F6</f>
        <v>0</v>
      </c>
      <c r="DC6" s="3"/>
      <c r="DD6" s="9">
        <f>SUM(CF6:DB6)/24</f>
        <v>0</v>
      </c>
      <c r="DE6" s="14">
        <f>DD6/12</f>
        <v>0</v>
      </c>
    </row>
    <row r="7" spans="1:109" x14ac:dyDescent="0.25">
      <c r="A7" s="144">
        <f>ROW()-4</f>
        <v>3</v>
      </c>
      <c r="B7" s="145" t="s">
        <v>206</v>
      </c>
      <c r="C7" s="147">
        <v>4.8</v>
      </c>
      <c r="D7" s="147">
        <v>16.7</v>
      </c>
      <c r="E7" s="147">
        <v>0.85</v>
      </c>
      <c r="F7" s="146">
        <f t="shared" si="2"/>
        <v>851.69999999999993</v>
      </c>
      <c r="G7" s="148">
        <v>1000</v>
      </c>
      <c r="H7" s="152">
        <v>0</v>
      </c>
      <c r="I7" s="152"/>
      <c r="J7" s="152">
        <v>0</v>
      </c>
      <c r="K7" s="152"/>
      <c r="L7" s="152">
        <v>360000</v>
      </c>
      <c r="M7" s="152">
        <v>260000</v>
      </c>
      <c r="N7" s="143">
        <v>360000</v>
      </c>
      <c r="O7" s="143">
        <v>372000</v>
      </c>
      <c r="P7" s="143">
        <v>360000</v>
      </c>
      <c r="Q7" s="143">
        <v>162000</v>
      </c>
      <c r="R7" s="143">
        <v>360000</v>
      </c>
      <c r="S7" s="143">
        <v>330000</v>
      </c>
      <c r="T7" s="152">
        <v>360000</v>
      </c>
      <c r="U7" s="152">
        <v>306000</v>
      </c>
      <c r="V7" s="152">
        <v>240000</v>
      </c>
      <c r="W7" s="152"/>
      <c r="X7" s="152">
        <v>360000</v>
      </c>
      <c r="Y7" s="152"/>
      <c r="Z7" s="143">
        <v>360000</v>
      </c>
      <c r="AA7" s="143"/>
      <c r="AB7" s="143">
        <v>360000</v>
      </c>
      <c r="AC7" s="143"/>
      <c r="AD7" s="143">
        <v>360000</v>
      </c>
      <c r="AE7" s="143"/>
      <c r="AF7" s="163">
        <f>SUM(I7,K7,M7,O7,Q7,S7,U7,W7,Y7,AA7,AC7,AE7)</f>
        <v>1430000</v>
      </c>
      <c r="AG7" s="165">
        <f>H7/$F7</f>
        <v>0</v>
      </c>
      <c r="AH7" s="165">
        <f>I7/$F7</f>
        <v>0</v>
      </c>
      <c r="AI7" s="165">
        <f>J7/$F7</f>
        <v>0</v>
      </c>
      <c r="AJ7" s="165">
        <f>K7/$F7</f>
        <v>0</v>
      </c>
      <c r="AK7" s="165">
        <f>L7/$F7</f>
        <v>422.68404367735121</v>
      </c>
      <c r="AL7" s="165">
        <f>M7/$F7</f>
        <v>305.27180932253145</v>
      </c>
      <c r="AM7" s="165">
        <f>N7/$F7</f>
        <v>422.68404367735121</v>
      </c>
      <c r="AN7" s="165">
        <f>O7/$F7</f>
        <v>436.77351179992957</v>
      </c>
      <c r="AO7" s="165">
        <f t="shared" si="4"/>
        <v>422.68404367735121</v>
      </c>
      <c r="AP7" s="165">
        <f t="shared" si="4"/>
        <v>190.20781965480805</v>
      </c>
      <c r="AQ7" s="165">
        <f t="shared" si="4"/>
        <v>422.68404367735121</v>
      </c>
      <c r="AR7" s="165">
        <f t="shared" si="4"/>
        <v>387.4603733709053</v>
      </c>
      <c r="AS7" s="165">
        <f t="shared" si="4"/>
        <v>422.68404367735121</v>
      </c>
      <c r="AT7" s="165">
        <f t="shared" si="4"/>
        <v>359.28143712574854</v>
      </c>
      <c r="AU7" s="165">
        <f t="shared" si="4"/>
        <v>281.78936245156746</v>
      </c>
      <c r="AV7" s="165">
        <f t="shared" si="4"/>
        <v>0</v>
      </c>
      <c r="AW7" s="165">
        <f t="shared" si="4"/>
        <v>422.68404367735121</v>
      </c>
      <c r="AX7" s="165">
        <f t="shared" si="4"/>
        <v>0</v>
      </c>
      <c r="AY7" s="165">
        <f t="shared" si="4"/>
        <v>422.68404367735121</v>
      </c>
      <c r="AZ7" s="165">
        <f t="shared" si="4"/>
        <v>0</v>
      </c>
      <c r="BA7" s="165">
        <f t="shared" si="4"/>
        <v>422.68404367735121</v>
      </c>
      <c r="BB7" s="164">
        <f t="shared" si="4"/>
        <v>0</v>
      </c>
      <c r="BC7" s="165">
        <f t="shared" si="4"/>
        <v>422.68404367735121</v>
      </c>
      <c r="BD7" s="164">
        <f t="shared" si="4"/>
        <v>0</v>
      </c>
      <c r="BE7" s="166">
        <f>SUM(AG7:BC7)/24</f>
        <v>240.20586278423545</v>
      </c>
      <c r="BF7" s="167">
        <f t="shared" ref="BF7" si="6">BE7/12</f>
        <v>20.017155232019622</v>
      </c>
      <c r="BG7" s="155"/>
      <c r="BH7" s="149"/>
      <c r="BI7" s="14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/>
      <c r="CC7" s="149"/>
      <c r="CD7" s="149"/>
      <c r="CE7" s="168">
        <f t="shared" si="5"/>
        <v>0</v>
      </c>
      <c r="CF7" s="169">
        <f>BG7/$F7</f>
        <v>0</v>
      </c>
      <c r="CG7" s="169"/>
      <c r="CH7" s="169">
        <f>BI7/$F7</f>
        <v>0</v>
      </c>
      <c r="CI7" s="169"/>
      <c r="CJ7" s="169">
        <f>BK7/$F7</f>
        <v>0</v>
      </c>
      <c r="CK7" s="169"/>
      <c r="CL7" s="169">
        <f>BM7/$F7</f>
        <v>0</v>
      </c>
      <c r="CM7" s="169"/>
      <c r="CN7" s="169">
        <f t="shared" si="1"/>
        <v>0</v>
      </c>
      <c r="CO7" s="169"/>
      <c r="CP7" s="169">
        <f t="shared" si="1"/>
        <v>0</v>
      </c>
      <c r="CQ7" s="169"/>
      <c r="CR7" s="169">
        <f t="shared" si="1"/>
        <v>0</v>
      </c>
      <c r="CS7" s="169"/>
      <c r="CT7" s="169">
        <f>BU7/$F7</f>
        <v>0</v>
      </c>
      <c r="CU7" s="169"/>
      <c r="CV7" s="169">
        <f>BW7/$F7</f>
        <v>0</v>
      </c>
      <c r="CW7" s="169"/>
      <c r="CX7" s="169">
        <f>BY7/$F7</f>
        <v>0</v>
      </c>
      <c r="CY7" s="169"/>
      <c r="CZ7" s="169">
        <f>CA7/$F7</f>
        <v>0</v>
      </c>
      <c r="DA7" s="169"/>
      <c r="DB7" s="169">
        <f>CC7/$F7</f>
        <v>0</v>
      </c>
      <c r="DC7" s="169"/>
      <c r="DD7" s="170">
        <f>SUM(CF7:DB7)/24</f>
        <v>0</v>
      </c>
      <c r="DE7" s="171">
        <f t="shared" ref="DE7" si="7">DD7/12</f>
        <v>0</v>
      </c>
    </row>
    <row r="8" spans="1:109" x14ac:dyDescent="0.25">
      <c r="A8" s="67"/>
      <c r="B8" s="85"/>
      <c r="C8" s="133"/>
      <c r="D8" s="133"/>
      <c r="E8" s="133"/>
      <c r="F8" s="132"/>
      <c r="G8" s="132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36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"/>
      <c r="AY8" s="38"/>
      <c r="AZ8" s="3"/>
      <c r="BA8" s="38"/>
      <c r="BB8" s="38"/>
      <c r="BC8" s="38"/>
      <c r="BD8" s="38"/>
      <c r="BE8" s="39"/>
      <c r="BF8" s="39"/>
      <c r="BG8" s="139"/>
      <c r="BH8" s="139"/>
      <c r="BI8" s="139"/>
      <c r="BJ8" s="139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36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9"/>
      <c r="DE8" s="39"/>
    </row>
    <row r="9" spans="1:109" x14ac:dyDescent="0.25"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172">
        <f t="shared" ref="AF9:BF9" si="8">SUM(AF6:AF7)</f>
        <v>1430000</v>
      </c>
      <c r="AG9" s="153">
        <f t="shared" si="8"/>
        <v>0</v>
      </c>
      <c r="AH9" s="153">
        <f t="shared" si="8"/>
        <v>0</v>
      </c>
      <c r="AI9" s="153">
        <f t="shared" si="8"/>
        <v>0</v>
      </c>
      <c r="AJ9" s="153">
        <f t="shared" si="8"/>
        <v>0</v>
      </c>
      <c r="AK9" s="153">
        <f t="shared" si="8"/>
        <v>422.68404367735121</v>
      </c>
      <c r="AL9" s="153">
        <f t="shared" si="8"/>
        <v>305.27180932253145</v>
      </c>
      <c r="AM9" s="153">
        <f t="shared" si="8"/>
        <v>422.68404367735121</v>
      </c>
      <c r="AN9" s="153">
        <f t="shared" si="8"/>
        <v>436.77351179992957</v>
      </c>
      <c r="AO9" s="153">
        <f t="shared" si="8"/>
        <v>422.68404367735121</v>
      </c>
      <c r="AP9" s="153">
        <f t="shared" si="8"/>
        <v>190.20781965480805</v>
      </c>
      <c r="AQ9" s="153">
        <f t="shared" si="8"/>
        <v>422.68404367735121</v>
      </c>
      <c r="AR9" s="153">
        <f t="shared" si="8"/>
        <v>387.4603733709053</v>
      </c>
      <c r="AS9" s="153">
        <f t="shared" si="8"/>
        <v>422.68404367735121</v>
      </c>
      <c r="AT9" s="153">
        <f t="shared" si="8"/>
        <v>359.28143712574854</v>
      </c>
      <c r="AU9" s="153">
        <f t="shared" si="8"/>
        <v>281.78936245156746</v>
      </c>
      <c r="AV9" s="153">
        <f t="shared" si="8"/>
        <v>0</v>
      </c>
      <c r="AW9" s="153">
        <f t="shared" si="8"/>
        <v>422.68404367735121</v>
      </c>
      <c r="AX9" s="153">
        <f t="shared" si="8"/>
        <v>0</v>
      </c>
      <c r="AY9" s="153">
        <f t="shared" si="8"/>
        <v>422.68404367735121</v>
      </c>
      <c r="AZ9" s="153">
        <f t="shared" si="8"/>
        <v>0</v>
      </c>
      <c r="BA9" s="153">
        <f t="shared" si="8"/>
        <v>422.68404367735121</v>
      </c>
      <c r="BB9" s="153">
        <f t="shared" si="8"/>
        <v>0</v>
      </c>
      <c r="BC9" s="153">
        <f t="shared" si="8"/>
        <v>422.68404367735121</v>
      </c>
      <c r="BD9" s="153">
        <f t="shared" si="8"/>
        <v>0</v>
      </c>
      <c r="BE9" s="153">
        <f t="shared" si="8"/>
        <v>240.20586278423545</v>
      </c>
      <c r="BF9" s="153">
        <f t="shared" si="8"/>
        <v>20.017155232019622</v>
      </c>
      <c r="BG9" s="140"/>
      <c r="BH9" s="140"/>
      <c r="BI9" s="140"/>
      <c r="BJ9" s="140"/>
      <c r="BK9" s="18"/>
      <c r="BL9" s="18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173">
        <f>SUM(CE6:CE7)</f>
        <v>0</v>
      </c>
      <c r="CF9" s="37">
        <f>SUM(CF6:CF7)</f>
        <v>0</v>
      </c>
      <c r="CG9" s="37"/>
      <c r="CH9" s="37">
        <f>SUM(CH6:CH7)</f>
        <v>0</v>
      </c>
      <c r="CI9" s="37"/>
      <c r="CJ9" s="37">
        <f>SUM(CJ6:CJ7)</f>
        <v>0</v>
      </c>
      <c r="CK9" s="37"/>
      <c r="CL9" s="37">
        <f>SUM(CL6:CL7)</f>
        <v>0</v>
      </c>
      <c r="CM9" s="37"/>
      <c r="CN9" s="37">
        <f>SUM(CN6:CN7)</f>
        <v>0</v>
      </c>
      <c r="CO9" s="37">
        <f>SUM(CO6:CO7)</f>
        <v>0</v>
      </c>
      <c r="CP9" s="37">
        <f>SUM(CP6:CP7)</f>
        <v>0</v>
      </c>
      <c r="CQ9" s="37">
        <f>SUM(CQ6:CQ7)</f>
        <v>0</v>
      </c>
      <c r="CR9" s="37">
        <f>SUM(CR6:CR7)</f>
        <v>0</v>
      </c>
      <c r="CS9" s="37"/>
      <c r="CT9" s="37">
        <f>SUM(CT6:CT7)</f>
        <v>0</v>
      </c>
      <c r="CU9" s="37"/>
      <c r="CV9" s="37">
        <f>SUM(CV6:CV7)</f>
        <v>0</v>
      </c>
      <c r="CW9" s="37"/>
      <c r="CX9" s="37">
        <f>SUM(CX6:CX7)</f>
        <v>0</v>
      </c>
      <c r="CY9" s="37"/>
      <c r="CZ9" s="37">
        <f>SUM(CZ6:CZ7)</f>
        <v>0</v>
      </c>
      <c r="DA9" s="37"/>
      <c r="DB9" s="37">
        <f>SUM(DB6:DB7)</f>
        <v>0</v>
      </c>
      <c r="DC9" s="37"/>
      <c r="DD9" s="37">
        <f>SUM(DD6:DD7)</f>
        <v>0</v>
      </c>
      <c r="DE9" s="37">
        <f>SUM(DE6:DE7)</f>
        <v>0</v>
      </c>
    </row>
    <row r="10" spans="1:109" x14ac:dyDescent="0.25"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</row>
    <row r="11" spans="1:109" x14ac:dyDescent="0.25"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 s="7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 s="7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</row>
    <row r="12" spans="1:109" x14ac:dyDescent="0.25"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</row>
    <row r="13" spans="1:109" x14ac:dyDescent="0.25"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</row>
    <row r="14" spans="1:109" x14ac:dyDescent="0.25"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</row>
    <row r="15" spans="1:109" x14ac:dyDescent="0.25">
      <c r="B15" s="10"/>
      <c r="J15" s="6"/>
      <c r="K15" s="6"/>
      <c r="L15" s="5"/>
      <c r="M15" s="5"/>
      <c r="N15" s="11"/>
      <c r="O15" s="11"/>
      <c r="P15" s="12"/>
      <c r="Q15" s="12"/>
      <c r="R15"/>
      <c r="S15"/>
      <c r="BI15" s="6"/>
      <c r="BJ15" s="6"/>
      <c r="BK15" s="5"/>
      <c r="BL15" s="5"/>
      <c r="BM15" s="11"/>
      <c r="BN15" s="11"/>
      <c r="BO15" s="12"/>
      <c r="BP15" s="12"/>
      <c r="BQ15"/>
      <c r="BR15"/>
    </row>
    <row r="16" spans="1:109" x14ac:dyDescent="0.25">
      <c r="J16" s="6"/>
      <c r="K16" s="6"/>
      <c r="L16" s="5"/>
      <c r="M16" s="5"/>
      <c r="N16" s="11"/>
      <c r="O16" s="11"/>
      <c r="P16" s="12"/>
      <c r="Q16" s="12"/>
      <c r="R16"/>
      <c r="S16"/>
      <c r="BI16" s="6"/>
      <c r="BJ16" s="6"/>
      <c r="BK16" s="5"/>
      <c r="BL16" s="5"/>
      <c r="BM16" s="11"/>
      <c r="BN16" s="11"/>
      <c r="BO16" s="12"/>
      <c r="BP16" s="12"/>
      <c r="BQ16"/>
      <c r="BR16"/>
    </row>
    <row r="17" spans="2:70" x14ac:dyDescent="0.25">
      <c r="J17" s="6"/>
      <c r="K17" s="6"/>
      <c r="L17" s="5"/>
      <c r="M17" s="5"/>
      <c r="N17" s="11"/>
      <c r="O17" s="11"/>
      <c r="P17" s="12"/>
      <c r="Q17" s="12"/>
      <c r="R17"/>
      <c r="S17"/>
      <c r="BI17" s="6"/>
      <c r="BJ17" s="6"/>
      <c r="BK17" s="5"/>
      <c r="BL17" s="5"/>
      <c r="BM17" s="11"/>
      <c r="BN17" s="11"/>
      <c r="BO17" s="12"/>
      <c r="BP17" s="12"/>
      <c r="BQ17"/>
      <c r="BR17"/>
    </row>
    <row r="18" spans="2:70" x14ac:dyDescent="0.25">
      <c r="B18" s="16"/>
      <c r="J18" s="6"/>
      <c r="K18" s="6"/>
      <c r="L18" s="5"/>
      <c r="M18" s="5"/>
      <c r="N18" s="11"/>
      <c r="O18" s="11"/>
      <c r="P18" s="12"/>
      <c r="Q18" s="12"/>
      <c r="R18"/>
      <c r="S18"/>
      <c r="BI18" s="6"/>
      <c r="BJ18" s="6"/>
      <c r="BK18" s="5"/>
      <c r="BL18" s="5"/>
      <c r="BM18" s="11"/>
      <c r="BN18" s="11"/>
      <c r="BO18" s="12"/>
      <c r="BP18" s="12"/>
      <c r="BQ18"/>
      <c r="BR18"/>
    </row>
    <row r="19" spans="2:70" x14ac:dyDescent="0.25">
      <c r="B19" s="16"/>
      <c r="J19" s="6"/>
      <c r="K19" s="6"/>
      <c r="L19" s="5"/>
      <c r="M19" s="5"/>
      <c r="N19" s="11"/>
      <c r="O19" s="11"/>
      <c r="P19" s="12"/>
      <c r="Q19" s="12"/>
      <c r="R19"/>
      <c r="S19"/>
      <c r="BI19" s="6"/>
      <c r="BJ19" s="6"/>
      <c r="BK19" s="5"/>
      <c r="BL19" s="5"/>
      <c r="BM19" s="11"/>
      <c r="BN19" s="11"/>
      <c r="BO19" s="12"/>
      <c r="BP19" s="12"/>
      <c r="BQ19"/>
      <c r="BR19"/>
    </row>
    <row r="20" spans="2:70" x14ac:dyDescent="0.25">
      <c r="B20" s="16"/>
      <c r="J20" s="6"/>
      <c r="K20" s="6"/>
      <c r="L20" s="5"/>
      <c r="M20" s="5"/>
      <c r="N20" s="11"/>
      <c r="O20" s="11"/>
      <c r="P20" s="12"/>
      <c r="Q20" s="12"/>
      <c r="R20"/>
      <c r="S20"/>
      <c r="BI20" s="6"/>
      <c r="BJ20" s="6"/>
      <c r="BK20" s="5"/>
      <c r="BL20" s="5"/>
      <c r="BM20" s="11"/>
      <c r="BN20" s="11"/>
      <c r="BO20" s="12"/>
      <c r="BP20" s="12"/>
      <c r="BQ20"/>
      <c r="BR20"/>
    </row>
    <row r="21" spans="2:70" x14ac:dyDescent="0.25">
      <c r="B21" s="16"/>
      <c r="J21" s="6"/>
      <c r="K21" s="6"/>
      <c r="L21" s="5"/>
      <c r="M21" s="5"/>
      <c r="N21" s="11"/>
      <c r="O21" s="11"/>
      <c r="P21" s="12"/>
      <c r="Q21" s="12"/>
      <c r="R21"/>
      <c r="S21"/>
      <c r="BI21" s="6"/>
      <c r="BJ21" s="6"/>
      <c r="BK21" s="5"/>
      <c r="BL21" s="5"/>
      <c r="BM21" s="11"/>
      <c r="BN21" s="11"/>
      <c r="BO21" s="12"/>
      <c r="BP21" s="12"/>
      <c r="BQ21"/>
      <c r="BR21"/>
    </row>
    <row r="22" spans="2:70" x14ac:dyDescent="0.25">
      <c r="J22" s="6"/>
      <c r="K22" s="6"/>
      <c r="L22" s="5"/>
      <c r="M22" s="5"/>
      <c r="N22" s="11"/>
      <c r="O22" s="11"/>
      <c r="P22" s="12"/>
      <c r="Q22" s="12"/>
      <c r="R22"/>
      <c r="S22"/>
      <c r="BI22" s="6"/>
      <c r="BJ22" s="6"/>
      <c r="BK22" s="5"/>
      <c r="BL22" s="5"/>
      <c r="BM22" s="11"/>
      <c r="BN22" s="11"/>
      <c r="BO22" s="12"/>
      <c r="BP22" s="12"/>
      <c r="BQ22"/>
      <c r="BR22"/>
    </row>
    <row r="23" spans="2:70" x14ac:dyDescent="0.25">
      <c r="J23" s="6"/>
      <c r="K23" s="6"/>
      <c r="L23" s="5"/>
      <c r="M23" s="5"/>
      <c r="N23" s="11"/>
      <c r="O23" s="11"/>
      <c r="P23" s="12"/>
      <c r="Q23" s="12"/>
      <c r="R23"/>
      <c r="S23"/>
      <c r="BI23" s="6"/>
      <c r="BJ23" s="6"/>
      <c r="BK23" s="5"/>
      <c r="BL23" s="5"/>
      <c r="BM23" s="11"/>
      <c r="BN23" s="11"/>
      <c r="BO23" s="12"/>
      <c r="BP23" s="12"/>
      <c r="BQ23"/>
      <c r="BR23"/>
    </row>
    <row r="24" spans="2:70" x14ac:dyDescent="0.25">
      <c r="J24" s="4"/>
      <c r="K24" s="4"/>
      <c r="L24" s="5"/>
      <c r="M24" s="5"/>
      <c r="N24" s="4"/>
      <c r="O24" s="4"/>
      <c r="P24" s="4"/>
      <c r="Q24" s="4"/>
      <c r="R24"/>
      <c r="S24"/>
      <c r="BI24" s="4"/>
      <c r="BJ24" s="4"/>
      <c r="BK24" s="5"/>
      <c r="BL24" s="5"/>
      <c r="BM24" s="4"/>
      <c r="BN24" s="4"/>
      <c r="BO24" s="4"/>
      <c r="BP24" s="4"/>
      <c r="BQ24"/>
      <c r="BR24"/>
    </row>
  </sheetData>
  <autoFilter ref="A3:DE7" xr:uid="{00000000-0009-0000-0000-000000000000}">
    <filterColumn colId="7" showButton="0"/>
    <filterColumn colId="9" showButton="0"/>
    <filterColumn colId="11" showButton="0"/>
    <filterColumn colId="13" showButton="0"/>
    <filterColumn colId="15" showButton="0"/>
    <filterColumn colId="17" showButton="0"/>
    <filterColumn colId="19" showButton="0"/>
    <filterColumn colId="21" showButton="0"/>
    <filterColumn colId="23" showButton="0"/>
    <filterColumn colId="25" showButton="0"/>
    <filterColumn colId="27" showButton="0"/>
    <filterColumn colId="29" showButton="0"/>
    <filterColumn colId="32" showButton="0"/>
    <filterColumn colId="34" showButton="0"/>
    <filterColumn colId="36" showButton="0"/>
    <filterColumn colId="38" showButton="0"/>
    <filterColumn colId="40" showButton="0"/>
    <filterColumn colId="42" showButton="0"/>
    <filterColumn colId="44" showButton="0"/>
    <filterColumn colId="46" showButton="0"/>
    <filterColumn colId="48" showButton="0"/>
    <filterColumn colId="50" showButton="0"/>
    <filterColumn colId="52" showButton="0"/>
    <filterColumn colId="54" showButton="0"/>
    <filterColumn colId="58" showButton="0"/>
    <filterColumn colId="60" showButton="0"/>
    <filterColumn colId="62" showButton="0"/>
    <filterColumn colId="64" showButton="0"/>
    <filterColumn colId="66" showButton="0"/>
    <filterColumn colId="68" showButton="0"/>
    <filterColumn colId="70" showButton="0"/>
    <filterColumn colId="72" showButton="0"/>
    <filterColumn colId="74" showButton="0"/>
    <filterColumn colId="76" showButton="0"/>
    <filterColumn colId="78" showButton="0"/>
    <filterColumn colId="80" showButton="0"/>
    <filterColumn colId="83" showButton="0"/>
    <filterColumn colId="85" showButton="0"/>
    <filterColumn colId="87" showButton="0"/>
    <filterColumn colId="89" showButton="0"/>
    <filterColumn colId="91" showButton="0"/>
    <filterColumn colId="93" showButton="0"/>
    <filterColumn colId="95" showButton="0"/>
    <filterColumn colId="97" showButton="0"/>
    <filterColumn colId="99" showButton="0"/>
    <filterColumn colId="101" showButton="0"/>
    <filterColumn colId="103" showButton="0"/>
    <filterColumn colId="105" showButton="0"/>
  </autoFilter>
  <mergeCells count="64">
    <mergeCell ref="CX3:CY3"/>
    <mergeCell ref="CZ3:DA3"/>
    <mergeCell ref="CC3:CD3"/>
    <mergeCell ref="CF3:CG3"/>
    <mergeCell ref="CH3:CI3"/>
    <mergeCell ref="CJ3:CK3"/>
    <mergeCell ref="CL3:CM3"/>
    <mergeCell ref="CT3:CU3"/>
    <mergeCell ref="CV3:CW3"/>
    <mergeCell ref="DB3:DC3"/>
    <mergeCell ref="CN3:CO3"/>
    <mergeCell ref="CP3:CQ3"/>
    <mergeCell ref="CR3:CS3"/>
    <mergeCell ref="AF3:AF4"/>
    <mergeCell ref="BE3:BE4"/>
    <mergeCell ref="BF3:BF4"/>
    <mergeCell ref="AW3:AX3"/>
    <mergeCell ref="AU3:AV3"/>
    <mergeCell ref="AI3:AJ3"/>
    <mergeCell ref="AG3:AH3"/>
    <mergeCell ref="AS3:AT3"/>
    <mergeCell ref="AQ3:AR3"/>
    <mergeCell ref="BC3:BD3"/>
    <mergeCell ref="BA3:BB3"/>
    <mergeCell ref="AY3:AZ3"/>
    <mergeCell ref="H3:I3"/>
    <mergeCell ref="J3:K3"/>
    <mergeCell ref="L3:M3"/>
    <mergeCell ref="N3:O3"/>
    <mergeCell ref="BG1:DE2"/>
    <mergeCell ref="BG3:BH3"/>
    <mergeCell ref="BI3:BJ3"/>
    <mergeCell ref="BK3:BL3"/>
    <mergeCell ref="BM3:BN3"/>
    <mergeCell ref="BO3:BP3"/>
    <mergeCell ref="BQ3:BR3"/>
    <mergeCell ref="BS3:BT3"/>
    <mergeCell ref="BU3:BV3"/>
    <mergeCell ref="BW3:BX3"/>
    <mergeCell ref="BY3:BZ3"/>
    <mergeCell ref="CA3:CB3"/>
    <mergeCell ref="G3:G4"/>
    <mergeCell ref="F1:G1"/>
    <mergeCell ref="F2:G2"/>
    <mergeCell ref="AO3:AP3"/>
    <mergeCell ref="AM3:AN3"/>
    <mergeCell ref="AK3:AL3"/>
    <mergeCell ref="H1:BF2"/>
    <mergeCell ref="F3:F4"/>
    <mergeCell ref="P3:Q3"/>
    <mergeCell ref="AD3:AE3"/>
    <mergeCell ref="AB3:AC3"/>
    <mergeCell ref="Z3:AA3"/>
    <mergeCell ref="X3:Y3"/>
    <mergeCell ref="V3:W3"/>
    <mergeCell ref="T3:U3"/>
    <mergeCell ref="R3:S3"/>
    <mergeCell ref="C1:E2"/>
    <mergeCell ref="A1:B2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  <customProperties>
    <customPr name="_pios_id" r:id="rId2"/>
  </customPropertie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G16"/>
  <sheetViews>
    <sheetView topLeftCell="A17" zoomScaleNormal="100" workbookViewId="0">
      <selection activeCell="J7" sqref="J7"/>
    </sheetView>
  </sheetViews>
  <sheetFormatPr defaultColWidth="9.140625" defaultRowHeight="15" x14ac:dyDescent="0.25"/>
  <cols>
    <col min="1" max="1" width="2" style="23" customWidth="1"/>
    <col min="2" max="2" width="8" style="23" customWidth="1"/>
    <col min="3" max="3" width="7.5703125" style="23" customWidth="1"/>
    <col min="4" max="4" width="5.42578125" style="23" customWidth="1"/>
    <col min="5" max="5" width="8.85546875" style="23" customWidth="1"/>
    <col min="6" max="6" width="10.5703125" style="23" customWidth="1"/>
    <col min="7" max="7" width="2" style="23" customWidth="1"/>
    <col min="8" max="8" width="10.85546875" style="23" bestFit="1" customWidth="1"/>
    <col min="9" max="9" width="7" style="23" bestFit="1" customWidth="1"/>
    <col min="10" max="10" width="6.140625" style="23" customWidth="1"/>
    <col min="11" max="11" width="9.5703125" style="23" customWidth="1"/>
    <col min="12" max="12" width="12.28515625" style="23" customWidth="1"/>
    <col min="13" max="13" width="11.42578125" style="23" customWidth="1"/>
    <col min="14" max="14" width="8.42578125" style="23" customWidth="1"/>
    <col min="15" max="15" width="10.42578125" style="23" customWidth="1"/>
    <col min="16" max="16" width="9.5703125" style="23" customWidth="1"/>
    <col min="17" max="17" width="8.85546875" style="23" customWidth="1"/>
    <col min="18" max="22" width="9.140625" style="23"/>
    <col min="23" max="23" width="7.140625" style="23" customWidth="1"/>
    <col min="24" max="24" width="7.140625" style="23" bestFit="1" customWidth="1"/>
    <col min="25" max="25" width="8.140625" style="23" bestFit="1" customWidth="1"/>
    <col min="26" max="26" width="9.42578125" style="23" customWidth="1"/>
    <col min="27" max="27" width="9.140625" style="23"/>
    <col min="28" max="28" width="10.85546875" style="23" bestFit="1" customWidth="1"/>
    <col min="29" max="31" width="9.140625" style="23"/>
    <col min="32" max="32" width="10.42578125" style="23" bestFit="1" customWidth="1"/>
    <col min="33" max="33" width="10.140625" style="23" bestFit="1" customWidth="1"/>
    <col min="34" max="16384" width="9.140625" style="23"/>
  </cols>
  <sheetData>
    <row r="2" spans="1:33" x14ac:dyDescent="0.25">
      <c r="I2" s="226" t="s">
        <v>29</v>
      </c>
      <c r="J2" s="227"/>
      <c r="K2" s="227"/>
      <c r="L2" s="227"/>
      <c r="M2" s="228"/>
      <c r="N2" s="222"/>
      <c r="O2" s="222"/>
      <c r="P2" s="222"/>
      <c r="Q2" s="223" t="s">
        <v>34</v>
      </c>
      <c r="R2" s="224"/>
      <c r="S2" s="225"/>
      <c r="AC2" s="226" t="s">
        <v>29</v>
      </c>
      <c r="AD2" s="227"/>
      <c r="AE2" s="227"/>
      <c r="AF2" s="227"/>
      <c r="AG2" s="228"/>
    </row>
    <row r="3" spans="1:33" ht="43.9" customHeight="1" x14ac:dyDescent="0.25">
      <c r="B3" s="13" t="s">
        <v>30</v>
      </c>
      <c r="C3" s="24" t="s">
        <v>31</v>
      </c>
      <c r="D3" s="24" t="s">
        <v>32</v>
      </c>
      <c r="E3" s="24" t="s">
        <v>33</v>
      </c>
      <c r="F3" s="24" t="s">
        <v>35</v>
      </c>
      <c r="G3" s="25"/>
      <c r="H3" s="13" t="s">
        <v>20</v>
      </c>
      <c r="I3" s="34" t="s">
        <v>48</v>
      </c>
      <c r="J3" s="54" t="s">
        <v>47</v>
      </c>
      <c r="K3" s="20" t="s">
        <v>28</v>
      </c>
      <c r="L3" s="20" t="s">
        <v>10</v>
      </c>
      <c r="M3" s="20" t="s">
        <v>2</v>
      </c>
      <c r="N3" s="26"/>
      <c r="O3" s="27"/>
      <c r="P3" s="25"/>
      <c r="Q3" s="24" t="s">
        <v>22</v>
      </c>
      <c r="R3" s="20" t="s">
        <v>27</v>
      </c>
      <c r="S3" s="24" t="s">
        <v>26</v>
      </c>
      <c r="V3" s="13" t="s">
        <v>30</v>
      </c>
      <c r="W3" s="24" t="s">
        <v>31</v>
      </c>
      <c r="X3" s="24" t="s">
        <v>32</v>
      </c>
      <c r="Y3" s="24" t="s">
        <v>33</v>
      </c>
      <c r="Z3" s="24" t="s">
        <v>35</v>
      </c>
      <c r="AA3" s="25"/>
      <c r="AB3" s="13" t="s">
        <v>20</v>
      </c>
      <c r="AC3" s="34" t="s">
        <v>48</v>
      </c>
      <c r="AD3" s="54" t="s">
        <v>47</v>
      </c>
      <c r="AE3" s="20" t="s">
        <v>28</v>
      </c>
      <c r="AF3" s="20" t="s">
        <v>10</v>
      </c>
      <c r="AG3" s="20" t="s">
        <v>2</v>
      </c>
    </row>
    <row r="4" spans="1:33" x14ac:dyDescent="0.25">
      <c r="B4" s="19">
        <v>3</v>
      </c>
      <c r="C4" s="19">
        <v>31</v>
      </c>
      <c r="D4" s="19">
        <v>16</v>
      </c>
      <c r="E4" s="19">
        <v>15</v>
      </c>
      <c r="F4" s="19">
        <v>1</v>
      </c>
      <c r="G4" s="26"/>
      <c r="H4" s="177">
        <v>44197</v>
      </c>
      <c r="I4" s="176">
        <f>SUM(Data!AG5:AG7)</f>
        <v>0</v>
      </c>
      <c r="J4" s="176">
        <f>Data!AH9</f>
        <v>0</v>
      </c>
      <c r="K4" s="21">
        <f>S4</f>
        <v>360</v>
      </c>
      <c r="L4" s="21">
        <f>K4-I4</f>
        <v>360</v>
      </c>
      <c r="M4" s="22">
        <f>(I4)/S4</f>
        <v>0</v>
      </c>
      <c r="N4" s="26"/>
      <c r="O4" s="30"/>
      <c r="P4" s="31"/>
      <c r="Q4" s="19">
        <f t="shared" ref="Q4:Q15" si="0">E4*F4*8</f>
        <v>120</v>
      </c>
      <c r="R4" s="29">
        <f t="shared" ref="R4:R15" si="1">E4*F4*16</f>
        <v>240</v>
      </c>
      <c r="S4" s="29">
        <f>24*E4*F4</f>
        <v>360</v>
      </c>
      <c r="V4" s="19">
        <v>3</v>
      </c>
      <c r="W4" s="19"/>
      <c r="X4" s="19"/>
      <c r="Y4" s="19"/>
      <c r="Z4" s="19">
        <v>1</v>
      </c>
      <c r="AA4" s="26"/>
      <c r="AB4" s="28" t="s">
        <v>13</v>
      </c>
      <c r="AC4" s="35">
        <f>Data!CF9</f>
        <v>0</v>
      </c>
      <c r="AD4" s="53"/>
      <c r="AE4" s="29">
        <f>Y4*24*Z4</f>
        <v>0</v>
      </c>
      <c r="AF4" s="21">
        <f>AE4-AC4</f>
        <v>0</v>
      </c>
      <c r="AG4" s="22" t="e">
        <f>(AC4)/AE4</f>
        <v>#DIV/0!</v>
      </c>
    </row>
    <row r="5" spans="1:33" x14ac:dyDescent="0.25">
      <c r="B5" s="19">
        <v>3</v>
      </c>
      <c r="C5" s="19">
        <v>28</v>
      </c>
      <c r="D5" s="19">
        <v>9</v>
      </c>
      <c r="E5" s="175">
        <v>19</v>
      </c>
      <c r="F5" s="19">
        <v>1</v>
      </c>
      <c r="G5" s="26"/>
      <c r="H5" s="177">
        <v>44228</v>
      </c>
      <c r="I5" s="176">
        <f>SUM(Data!AI5:AI7)</f>
        <v>0</v>
      </c>
      <c r="J5" s="176">
        <f>Data!AJ9</f>
        <v>0</v>
      </c>
      <c r="K5" s="21">
        <f t="shared" ref="K5:K15" si="2">S5</f>
        <v>456</v>
      </c>
      <c r="L5" s="21">
        <f t="shared" ref="L5:L15" si="3">K5-I5</f>
        <v>456</v>
      </c>
      <c r="M5" s="22">
        <f t="shared" ref="M5:M15" si="4">(I5)/S5</f>
        <v>0</v>
      </c>
      <c r="N5" s="26"/>
      <c r="O5" s="30"/>
      <c r="P5" s="31"/>
      <c r="Q5" s="19">
        <f t="shared" si="0"/>
        <v>152</v>
      </c>
      <c r="R5" s="29">
        <f t="shared" si="1"/>
        <v>304</v>
      </c>
      <c r="S5" s="29">
        <f t="shared" ref="S5:S15" si="5">24*E5*F5</f>
        <v>456</v>
      </c>
      <c r="V5" s="19">
        <v>3</v>
      </c>
      <c r="W5" s="19"/>
      <c r="X5" s="19"/>
      <c r="Y5" s="19"/>
      <c r="Z5" s="19">
        <v>1</v>
      </c>
      <c r="AA5" s="26"/>
      <c r="AB5" s="28" t="s">
        <v>17</v>
      </c>
      <c r="AC5" s="35">
        <f>Data!CH9</f>
        <v>0</v>
      </c>
      <c r="AD5" s="53"/>
      <c r="AE5" s="29">
        <f t="shared" ref="AE5:AE15" si="6">Y5*24*Z5</f>
        <v>0</v>
      </c>
      <c r="AF5" s="21">
        <f t="shared" ref="AF5:AF15" si="7">AE5-AC5</f>
        <v>0</v>
      </c>
      <c r="AG5" s="22" t="e">
        <f t="shared" ref="AG5:AG15" si="8">(AC5)/AE5</f>
        <v>#DIV/0!</v>
      </c>
    </row>
    <row r="6" spans="1:33" x14ac:dyDescent="0.25">
      <c r="B6" s="174">
        <v>3</v>
      </c>
      <c r="C6" s="19">
        <v>31</v>
      </c>
      <c r="D6" s="19">
        <v>9</v>
      </c>
      <c r="E6" s="19">
        <v>22</v>
      </c>
      <c r="F6" s="19">
        <v>1</v>
      </c>
      <c r="G6" s="26"/>
      <c r="H6" s="177">
        <v>44256</v>
      </c>
      <c r="I6" s="35">
        <f>SUM(Data!AK5:AK7)</f>
        <v>422.68404367735121</v>
      </c>
      <c r="J6" s="53">
        <f>Data!AL9</f>
        <v>305.27180932253145</v>
      </c>
      <c r="K6" s="21">
        <v>504</v>
      </c>
      <c r="L6" s="21">
        <f t="shared" si="3"/>
        <v>81.315956322648788</v>
      </c>
      <c r="M6" s="22">
        <f t="shared" si="4"/>
        <v>0.8005379615101349</v>
      </c>
      <c r="N6" s="26"/>
      <c r="O6" s="30"/>
      <c r="P6" s="31"/>
      <c r="Q6" s="19">
        <f t="shared" si="0"/>
        <v>176</v>
      </c>
      <c r="R6" s="29">
        <f t="shared" si="1"/>
        <v>352</v>
      </c>
      <c r="S6" s="29">
        <f t="shared" si="5"/>
        <v>528</v>
      </c>
      <c r="V6" s="19">
        <v>3</v>
      </c>
      <c r="W6" s="19"/>
      <c r="X6" s="19"/>
      <c r="Y6" s="19"/>
      <c r="Z6" s="19">
        <v>1</v>
      </c>
      <c r="AA6" s="26"/>
      <c r="AB6" s="28" t="s">
        <v>15</v>
      </c>
      <c r="AC6" s="35">
        <f>Data!CJ9</f>
        <v>0</v>
      </c>
      <c r="AD6" s="53"/>
      <c r="AE6" s="29">
        <f t="shared" si="6"/>
        <v>0</v>
      </c>
      <c r="AF6" s="21">
        <f t="shared" si="7"/>
        <v>0</v>
      </c>
      <c r="AG6" s="22" t="e">
        <f t="shared" si="8"/>
        <v>#DIV/0!</v>
      </c>
    </row>
    <row r="7" spans="1:33" x14ac:dyDescent="0.25">
      <c r="B7" s="174">
        <v>3</v>
      </c>
      <c r="C7" s="19">
        <v>30</v>
      </c>
      <c r="D7" s="19">
        <v>8</v>
      </c>
      <c r="E7" s="19">
        <v>22</v>
      </c>
      <c r="F7" s="19">
        <v>1</v>
      </c>
      <c r="G7" s="26"/>
      <c r="H7" s="177">
        <v>44287</v>
      </c>
      <c r="I7" s="35">
        <f>SUM(Data!AM5:AM7)</f>
        <v>422.68404367735121</v>
      </c>
      <c r="J7" s="53">
        <f>Data!AN9</f>
        <v>436.77351179992957</v>
      </c>
      <c r="K7" s="21">
        <v>528</v>
      </c>
      <c r="L7" s="21">
        <f t="shared" si="3"/>
        <v>105.31595632264879</v>
      </c>
      <c r="M7" s="22">
        <f t="shared" si="4"/>
        <v>0.8005379615101349</v>
      </c>
      <c r="N7" s="26"/>
      <c r="O7" s="30"/>
      <c r="P7" s="31"/>
      <c r="Q7" s="19">
        <f t="shared" si="0"/>
        <v>176</v>
      </c>
      <c r="R7" s="29">
        <f t="shared" si="1"/>
        <v>352</v>
      </c>
      <c r="S7" s="29">
        <f t="shared" si="5"/>
        <v>528</v>
      </c>
      <c r="V7" s="19">
        <v>3</v>
      </c>
      <c r="W7" s="19"/>
      <c r="X7" s="19"/>
      <c r="Y7" s="19"/>
      <c r="Z7" s="19">
        <v>1</v>
      </c>
      <c r="AA7" s="26"/>
      <c r="AB7" s="28" t="s">
        <v>12</v>
      </c>
      <c r="AC7" s="35">
        <f>Data!CL9</f>
        <v>0</v>
      </c>
      <c r="AD7" s="53"/>
      <c r="AE7" s="29">
        <f t="shared" si="6"/>
        <v>0</v>
      </c>
      <c r="AF7" s="21">
        <f t="shared" si="7"/>
        <v>0</v>
      </c>
      <c r="AG7" s="22" t="e">
        <f t="shared" si="8"/>
        <v>#DIV/0!</v>
      </c>
    </row>
    <row r="8" spans="1:33" x14ac:dyDescent="0.25">
      <c r="B8" s="19">
        <v>3</v>
      </c>
      <c r="C8" s="19">
        <v>31</v>
      </c>
      <c r="D8" s="19">
        <v>12</v>
      </c>
      <c r="E8" s="19">
        <v>19</v>
      </c>
      <c r="F8" s="19">
        <v>1</v>
      </c>
      <c r="G8" s="26"/>
      <c r="H8" s="177">
        <v>44317</v>
      </c>
      <c r="I8" s="35">
        <f>SUM(Data!AO5:AO7)</f>
        <v>422.68404367735121</v>
      </c>
      <c r="J8" s="53">
        <f>Data!AP9</f>
        <v>190.20781965480805</v>
      </c>
      <c r="K8" s="21">
        <f t="shared" si="2"/>
        <v>456</v>
      </c>
      <c r="L8" s="21">
        <f t="shared" si="3"/>
        <v>33.315956322648788</v>
      </c>
      <c r="M8" s="22">
        <f t="shared" si="4"/>
        <v>0.92693869227489301</v>
      </c>
      <c r="N8" s="26"/>
      <c r="O8" s="30"/>
      <c r="P8" s="31"/>
      <c r="Q8" s="19">
        <f t="shared" si="0"/>
        <v>152</v>
      </c>
      <c r="R8" s="29">
        <f t="shared" si="1"/>
        <v>304</v>
      </c>
      <c r="S8" s="29">
        <f t="shared" si="5"/>
        <v>456</v>
      </c>
      <c r="V8" s="19">
        <v>3</v>
      </c>
      <c r="W8" s="19"/>
      <c r="X8" s="19"/>
      <c r="Y8" s="19"/>
      <c r="Z8" s="19">
        <v>1</v>
      </c>
      <c r="AA8" s="26"/>
      <c r="AB8" s="28" t="s">
        <v>11</v>
      </c>
      <c r="AC8" s="35">
        <f>Data!CN9</f>
        <v>0</v>
      </c>
      <c r="AD8" s="53"/>
      <c r="AE8" s="29">
        <f t="shared" si="6"/>
        <v>0</v>
      </c>
      <c r="AF8" s="21">
        <f t="shared" si="7"/>
        <v>0</v>
      </c>
      <c r="AG8" s="22" t="e">
        <f t="shared" si="8"/>
        <v>#DIV/0!</v>
      </c>
    </row>
    <row r="9" spans="1:33" x14ac:dyDescent="0.25">
      <c r="B9" s="19">
        <v>3</v>
      </c>
      <c r="C9" s="19">
        <v>30</v>
      </c>
      <c r="D9" s="19">
        <v>9</v>
      </c>
      <c r="E9" s="19">
        <v>21</v>
      </c>
      <c r="F9" s="19">
        <v>1</v>
      </c>
      <c r="G9" s="26"/>
      <c r="H9" s="177">
        <v>44348</v>
      </c>
      <c r="I9" s="35">
        <f>SUM(Data!AQ5:AQ7)</f>
        <v>422.68404367735121</v>
      </c>
      <c r="J9" s="53">
        <f>Data!AR9</f>
        <v>387.4603733709053</v>
      </c>
      <c r="K9" s="21">
        <f t="shared" si="2"/>
        <v>504</v>
      </c>
      <c r="L9" s="21">
        <f t="shared" si="3"/>
        <v>81.315956322648788</v>
      </c>
      <c r="M9" s="22">
        <f t="shared" si="4"/>
        <v>0.83865881682014132</v>
      </c>
      <c r="N9" s="26"/>
      <c r="O9" s="30"/>
      <c r="P9" s="31"/>
      <c r="Q9" s="19">
        <f t="shared" si="0"/>
        <v>168</v>
      </c>
      <c r="R9" s="29">
        <f t="shared" si="1"/>
        <v>336</v>
      </c>
      <c r="S9" s="29">
        <f t="shared" si="5"/>
        <v>504</v>
      </c>
      <c r="V9" s="19">
        <v>3</v>
      </c>
      <c r="W9" s="19"/>
      <c r="X9" s="19"/>
      <c r="Y9" s="19"/>
      <c r="Z9" s="19">
        <v>1</v>
      </c>
      <c r="AA9" s="26"/>
      <c r="AB9" s="28" t="s">
        <v>3</v>
      </c>
      <c r="AC9" s="35">
        <f>Data!CP9</f>
        <v>0</v>
      </c>
      <c r="AD9" s="53"/>
      <c r="AE9" s="29">
        <f t="shared" si="6"/>
        <v>0</v>
      </c>
      <c r="AF9" s="21">
        <f t="shared" si="7"/>
        <v>0</v>
      </c>
      <c r="AG9" s="22" t="e">
        <f t="shared" si="8"/>
        <v>#DIV/0!</v>
      </c>
    </row>
    <row r="10" spans="1:33" x14ac:dyDescent="0.25">
      <c r="B10" s="19">
        <v>3</v>
      </c>
      <c r="C10" s="19">
        <v>31</v>
      </c>
      <c r="D10" s="19">
        <v>14</v>
      </c>
      <c r="E10" s="19">
        <v>17</v>
      </c>
      <c r="F10" s="19">
        <v>1</v>
      </c>
      <c r="G10" s="26"/>
      <c r="H10" s="177">
        <v>44378</v>
      </c>
      <c r="I10" s="35">
        <f>SUM(Data!AS5:AS7)</f>
        <v>422.68404367735121</v>
      </c>
      <c r="J10" s="53">
        <f>Data!AT9</f>
        <v>359.28143712574854</v>
      </c>
      <c r="K10" s="21">
        <f t="shared" si="2"/>
        <v>408</v>
      </c>
      <c r="L10" s="21">
        <f t="shared" si="3"/>
        <v>-14.684043677351212</v>
      </c>
      <c r="M10" s="22">
        <f t="shared" si="4"/>
        <v>1.0359903031307627</v>
      </c>
      <c r="N10" s="26"/>
      <c r="O10" s="30"/>
      <c r="P10" s="31"/>
      <c r="Q10" s="19">
        <f t="shared" si="0"/>
        <v>136</v>
      </c>
      <c r="R10" s="29">
        <f t="shared" si="1"/>
        <v>272</v>
      </c>
      <c r="S10" s="29">
        <f t="shared" si="5"/>
        <v>408</v>
      </c>
      <c r="V10" s="19">
        <v>3</v>
      </c>
      <c r="W10" s="19"/>
      <c r="X10" s="19"/>
      <c r="Y10" s="19"/>
      <c r="Z10" s="19">
        <v>1</v>
      </c>
      <c r="AA10" s="26"/>
      <c r="AB10" s="28" t="s">
        <v>4</v>
      </c>
      <c r="AC10" s="35">
        <f>Data!CR9</f>
        <v>0</v>
      </c>
      <c r="AD10" s="53"/>
      <c r="AE10" s="29">
        <f t="shared" si="6"/>
        <v>0</v>
      </c>
      <c r="AF10" s="21">
        <f t="shared" si="7"/>
        <v>0</v>
      </c>
      <c r="AG10" s="22" t="e">
        <f t="shared" si="8"/>
        <v>#DIV/0!</v>
      </c>
    </row>
    <row r="11" spans="1:33" x14ac:dyDescent="0.25">
      <c r="B11" s="19">
        <v>3</v>
      </c>
      <c r="C11" s="19">
        <v>31</v>
      </c>
      <c r="D11" s="19">
        <v>19</v>
      </c>
      <c r="E11" s="19">
        <v>12</v>
      </c>
      <c r="F11" s="19">
        <v>1</v>
      </c>
      <c r="G11" s="26"/>
      <c r="H11" s="177">
        <v>44409</v>
      </c>
      <c r="I11" s="35">
        <f>SUM(Data!AU5:AU7)</f>
        <v>281.78936245156746</v>
      </c>
      <c r="J11" s="53">
        <f>Data!AV9</f>
        <v>0</v>
      </c>
      <c r="K11" s="21">
        <f t="shared" si="2"/>
        <v>288</v>
      </c>
      <c r="L11" s="21">
        <f t="shared" si="3"/>
        <v>6.210637548432544</v>
      </c>
      <c r="M11" s="22">
        <f t="shared" si="4"/>
        <v>0.97843528629016474</v>
      </c>
      <c r="N11" s="26"/>
      <c r="O11" s="30"/>
      <c r="P11" s="31"/>
      <c r="Q11" s="19">
        <f t="shared" si="0"/>
        <v>96</v>
      </c>
      <c r="R11" s="29">
        <f t="shared" si="1"/>
        <v>192</v>
      </c>
      <c r="S11" s="29">
        <f t="shared" si="5"/>
        <v>288</v>
      </c>
      <c r="V11" s="19">
        <v>3</v>
      </c>
      <c r="W11" s="19"/>
      <c r="X11" s="19"/>
      <c r="Y11" s="19"/>
      <c r="Z11" s="19">
        <v>1</v>
      </c>
      <c r="AA11" s="26"/>
      <c r="AB11" s="28" t="s">
        <v>5</v>
      </c>
      <c r="AC11" s="35">
        <f>Data!CT9</f>
        <v>0</v>
      </c>
      <c r="AD11" s="53"/>
      <c r="AE11" s="29">
        <f t="shared" si="6"/>
        <v>0</v>
      </c>
      <c r="AF11" s="21">
        <f t="shared" si="7"/>
        <v>0</v>
      </c>
      <c r="AG11" s="22" t="e">
        <f t="shared" si="8"/>
        <v>#DIV/0!</v>
      </c>
    </row>
    <row r="12" spans="1:33" x14ac:dyDescent="0.25">
      <c r="B12" s="19">
        <v>3</v>
      </c>
      <c r="C12" s="19">
        <v>30</v>
      </c>
      <c r="D12" s="19">
        <v>8</v>
      </c>
      <c r="E12" s="19">
        <v>22</v>
      </c>
      <c r="F12" s="19">
        <v>1</v>
      </c>
      <c r="G12" s="26"/>
      <c r="H12" s="177">
        <v>44440</v>
      </c>
      <c r="I12" s="35">
        <f>SUM(Data!AW5:AW7)</f>
        <v>422.68404367735121</v>
      </c>
      <c r="J12" s="53">
        <f>Data!AX9</f>
        <v>0</v>
      </c>
      <c r="K12" s="21">
        <f t="shared" si="2"/>
        <v>528</v>
      </c>
      <c r="L12" s="21">
        <f t="shared" si="3"/>
        <v>105.31595632264879</v>
      </c>
      <c r="M12" s="22">
        <f t="shared" si="4"/>
        <v>0.8005379615101349</v>
      </c>
      <c r="N12" s="26"/>
      <c r="O12" s="30"/>
      <c r="P12" s="31"/>
      <c r="Q12" s="19">
        <f t="shared" si="0"/>
        <v>176</v>
      </c>
      <c r="R12" s="29">
        <f t="shared" si="1"/>
        <v>352</v>
      </c>
      <c r="S12" s="29">
        <f t="shared" si="5"/>
        <v>528</v>
      </c>
      <c r="V12" s="19">
        <v>3</v>
      </c>
      <c r="W12" s="19"/>
      <c r="X12" s="19"/>
      <c r="Y12" s="19"/>
      <c r="Z12" s="19">
        <v>1</v>
      </c>
      <c r="AA12" s="26"/>
      <c r="AB12" s="28" t="s">
        <v>6</v>
      </c>
      <c r="AC12" s="35">
        <f>Data!CV9</f>
        <v>0</v>
      </c>
      <c r="AD12" s="53"/>
      <c r="AE12" s="29">
        <f t="shared" si="6"/>
        <v>0</v>
      </c>
      <c r="AF12" s="21">
        <f t="shared" si="7"/>
        <v>0</v>
      </c>
      <c r="AG12" s="22" t="e">
        <f t="shared" si="8"/>
        <v>#DIV/0!</v>
      </c>
    </row>
    <row r="13" spans="1:33" x14ac:dyDescent="0.25">
      <c r="B13" s="19">
        <v>3</v>
      </c>
      <c r="C13" s="19">
        <v>31</v>
      </c>
      <c r="D13" s="19">
        <v>10</v>
      </c>
      <c r="E13" s="19">
        <v>21</v>
      </c>
      <c r="F13" s="19">
        <v>1</v>
      </c>
      <c r="G13" s="26"/>
      <c r="H13" s="177">
        <v>44470</v>
      </c>
      <c r="I13" s="35">
        <f>SUM(Data!AY5:AY7)</f>
        <v>422.68404367735121</v>
      </c>
      <c r="J13" s="53">
        <f>Data!AZ9</f>
        <v>0</v>
      </c>
      <c r="K13" s="21">
        <f t="shared" si="2"/>
        <v>504</v>
      </c>
      <c r="L13" s="21">
        <f t="shared" si="3"/>
        <v>81.315956322648788</v>
      </c>
      <c r="M13" s="22">
        <f t="shared" si="4"/>
        <v>0.83865881682014132</v>
      </c>
      <c r="N13" s="26"/>
      <c r="O13" s="30"/>
      <c r="P13" s="31"/>
      <c r="Q13" s="19">
        <f t="shared" si="0"/>
        <v>168</v>
      </c>
      <c r="R13" s="29">
        <f t="shared" si="1"/>
        <v>336</v>
      </c>
      <c r="S13" s="29">
        <f t="shared" si="5"/>
        <v>504</v>
      </c>
      <c r="V13" s="19">
        <v>3</v>
      </c>
      <c r="W13" s="19"/>
      <c r="X13" s="19"/>
      <c r="Y13" s="19"/>
      <c r="Z13" s="19">
        <v>1</v>
      </c>
      <c r="AA13" s="26"/>
      <c r="AB13" s="28" t="s">
        <v>7</v>
      </c>
      <c r="AC13" s="35">
        <f>Data!CX9</f>
        <v>0</v>
      </c>
      <c r="AD13" s="53"/>
      <c r="AE13" s="29">
        <f t="shared" si="6"/>
        <v>0</v>
      </c>
      <c r="AF13" s="21">
        <f t="shared" si="7"/>
        <v>0</v>
      </c>
      <c r="AG13" s="22" t="e">
        <f t="shared" si="8"/>
        <v>#DIV/0!</v>
      </c>
    </row>
    <row r="14" spans="1:33" x14ac:dyDescent="0.25">
      <c r="B14" s="19">
        <v>3</v>
      </c>
      <c r="C14" s="19">
        <v>30</v>
      </c>
      <c r="D14" s="19">
        <v>10</v>
      </c>
      <c r="E14" s="19">
        <v>20</v>
      </c>
      <c r="F14" s="19">
        <v>1</v>
      </c>
      <c r="G14" s="26"/>
      <c r="H14" s="177">
        <v>44501</v>
      </c>
      <c r="I14" s="35">
        <f>SUM(Data!BA5:BA7)</f>
        <v>422.68404367735121</v>
      </c>
      <c r="J14" s="53">
        <f>Data!BB9</f>
        <v>0</v>
      </c>
      <c r="K14" s="21">
        <f t="shared" si="2"/>
        <v>480</v>
      </c>
      <c r="L14" s="21">
        <f t="shared" si="3"/>
        <v>57.315956322648788</v>
      </c>
      <c r="M14" s="22">
        <f t="shared" si="4"/>
        <v>0.88059175766114839</v>
      </c>
      <c r="N14" s="26"/>
      <c r="O14" s="30"/>
      <c r="P14" s="31"/>
      <c r="Q14" s="19">
        <f t="shared" si="0"/>
        <v>160</v>
      </c>
      <c r="R14" s="29">
        <f t="shared" si="1"/>
        <v>320</v>
      </c>
      <c r="S14" s="29">
        <f t="shared" si="5"/>
        <v>480</v>
      </c>
      <c r="V14" s="19">
        <v>3</v>
      </c>
      <c r="W14" s="19"/>
      <c r="X14" s="19"/>
      <c r="Y14" s="19"/>
      <c r="Z14" s="19">
        <v>1</v>
      </c>
      <c r="AA14" s="26"/>
      <c r="AB14" s="28" t="s">
        <v>8</v>
      </c>
      <c r="AC14" s="35">
        <f>Data!CZ9</f>
        <v>0</v>
      </c>
      <c r="AD14" s="53"/>
      <c r="AE14" s="29">
        <f t="shared" si="6"/>
        <v>0</v>
      </c>
      <c r="AF14" s="21">
        <f t="shared" si="7"/>
        <v>0</v>
      </c>
      <c r="AG14" s="22" t="e">
        <f t="shared" si="8"/>
        <v>#DIV/0!</v>
      </c>
    </row>
    <row r="15" spans="1:33" x14ac:dyDescent="0.25">
      <c r="B15" s="19">
        <v>3</v>
      </c>
      <c r="C15" s="19">
        <v>31</v>
      </c>
      <c r="D15" s="19">
        <v>13</v>
      </c>
      <c r="E15" s="19">
        <v>18</v>
      </c>
      <c r="F15" s="19">
        <v>1</v>
      </c>
      <c r="G15" s="26"/>
      <c r="H15" s="177">
        <v>44531</v>
      </c>
      <c r="I15" s="35">
        <f>SUM(Data!BC5:BC7)</f>
        <v>422.68404367735121</v>
      </c>
      <c r="J15" s="53">
        <f>Data!BD9</f>
        <v>0</v>
      </c>
      <c r="K15" s="21">
        <f t="shared" si="2"/>
        <v>432</v>
      </c>
      <c r="L15" s="21">
        <f t="shared" si="3"/>
        <v>9.3159563226487876</v>
      </c>
      <c r="M15" s="22">
        <f t="shared" si="4"/>
        <v>0.97843528629016485</v>
      </c>
      <c r="N15" s="26"/>
      <c r="O15" s="30"/>
      <c r="P15" s="31"/>
      <c r="Q15" s="19">
        <f t="shared" si="0"/>
        <v>144</v>
      </c>
      <c r="R15" s="29">
        <f t="shared" si="1"/>
        <v>288</v>
      </c>
      <c r="S15" s="29">
        <f t="shared" si="5"/>
        <v>432</v>
      </c>
      <c r="V15" s="19">
        <v>3</v>
      </c>
      <c r="W15" s="19"/>
      <c r="X15" s="19"/>
      <c r="Y15" s="19"/>
      <c r="Z15" s="19">
        <v>1</v>
      </c>
      <c r="AA15" s="26"/>
      <c r="AB15" s="28" t="s">
        <v>9</v>
      </c>
      <c r="AC15" s="35">
        <f>Data!DB9</f>
        <v>0</v>
      </c>
      <c r="AD15" s="53"/>
      <c r="AE15" s="29">
        <f t="shared" si="6"/>
        <v>0</v>
      </c>
      <c r="AF15" s="21">
        <f t="shared" si="7"/>
        <v>0</v>
      </c>
      <c r="AG15" s="22" t="e">
        <f t="shared" si="8"/>
        <v>#DIV/0!</v>
      </c>
    </row>
    <row r="16" spans="1:33" x14ac:dyDescent="0.25">
      <c r="A16" s="32"/>
      <c r="B16" s="26"/>
      <c r="C16" s="26"/>
      <c r="D16" s="26"/>
      <c r="E16" s="26"/>
      <c r="F16" s="26"/>
      <c r="O16" s="33"/>
      <c r="P16" s="33"/>
      <c r="Q16" s="33"/>
    </row>
  </sheetData>
  <mergeCells count="4">
    <mergeCell ref="N2:P2"/>
    <mergeCell ref="Q2:S2"/>
    <mergeCell ref="I2:M2"/>
    <mergeCell ref="AC2:AG2"/>
  </mergeCells>
  <conditionalFormatting sqref="M4:M15">
    <cfRule type="cellIs" dxfId="3" priority="4" operator="greaterThan">
      <formula>100%</formula>
    </cfRule>
  </conditionalFormatting>
  <conditionalFormatting sqref="K4:M15">
    <cfRule type="cellIs" dxfId="2" priority="3" operator="lessThan">
      <formula>0</formula>
    </cfRule>
  </conditionalFormatting>
  <conditionalFormatting sqref="AG4:AG15">
    <cfRule type="cellIs" dxfId="1" priority="2" operator="greaterThan">
      <formula>100%</formula>
    </cfRule>
  </conditionalFormatting>
  <conditionalFormatting sqref="AF4:AG15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A119"/>
  <sheetViews>
    <sheetView zoomScale="85" zoomScaleNormal="85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J66" sqref="J66"/>
    </sheetView>
  </sheetViews>
  <sheetFormatPr defaultRowHeight="15" x14ac:dyDescent="0.25"/>
  <cols>
    <col min="1" max="2" width="15.7109375" style="68" customWidth="1"/>
    <col min="3" max="6" width="13.7109375" style="68" customWidth="1"/>
    <col min="7" max="7" width="11.7109375" style="74" customWidth="1"/>
    <col min="8" max="8" width="13.7109375" style="110" customWidth="1"/>
    <col min="9" max="9" width="11.7109375" style="111" customWidth="1"/>
    <col min="10" max="10" width="11.7109375" style="112" customWidth="1"/>
    <col min="11" max="11" width="20.7109375" style="113" customWidth="1"/>
    <col min="12" max="12" width="11.7109375" style="114" customWidth="1"/>
    <col min="13" max="13" width="12.7109375" style="74" customWidth="1"/>
    <col min="14" max="14" width="13.7109375" style="74" customWidth="1"/>
    <col min="15" max="16" width="11.7109375" style="74" customWidth="1"/>
    <col min="17" max="17" width="11.7109375" style="110" customWidth="1"/>
    <col min="18" max="18" width="11.7109375" style="115" customWidth="1"/>
    <col min="19" max="20" width="11.7109375" style="74" customWidth="1"/>
    <col min="21" max="21" width="11.7109375" style="110" customWidth="1"/>
    <col min="22" max="22" width="11.7109375" style="115" customWidth="1"/>
    <col min="23" max="25" width="11.7109375" style="74" customWidth="1"/>
    <col min="26" max="27" width="10.7109375" style="74" customWidth="1"/>
    <col min="28" max="28" width="12.7109375" style="75" customWidth="1"/>
    <col min="29" max="16384" width="9.140625" style="75"/>
  </cols>
  <sheetData>
    <row r="1" spans="1:27" s="65" customFormat="1" ht="45" x14ac:dyDescent="0.25">
      <c r="A1" s="55" t="s">
        <v>49</v>
      </c>
      <c r="B1" s="56" t="s">
        <v>50</v>
      </c>
      <c r="C1" s="55" t="s">
        <v>51</v>
      </c>
      <c r="D1" s="56" t="s">
        <v>52</v>
      </c>
      <c r="E1" s="56" t="s">
        <v>53</v>
      </c>
      <c r="F1" s="56" t="s">
        <v>54</v>
      </c>
      <c r="G1" s="57" t="s">
        <v>55</v>
      </c>
      <c r="H1" s="56" t="s">
        <v>56</v>
      </c>
      <c r="I1" s="58" t="s">
        <v>57</v>
      </c>
      <c r="J1" s="59" t="s">
        <v>58</v>
      </c>
      <c r="K1" s="57" t="s">
        <v>59</v>
      </c>
      <c r="L1" s="60" t="s">
        <v>60</v>
      </c>
      <c r="M1" s="57" t="s">
        <v>61</v>
      </c>
      <c r="N1" s="57" t="s">
        <v>62</v>
      </c>
      <c r="O1" s="57" t="s">
        <v>63</v>
      </c>
      <c r="P1" s="57" t="s">
        <v>64</v>
      </c>
      <c r="Q1" s="56" t="s">
        <v>65</v>
      </c>
      <c r="R1" s="61" t="s">
        <v>66</v>
      </c>
      <c r="S1" s="57" t="s">
        <v>67</v>
      </c>
      <c r="T1" s="57" t="s">
        <v>68</v>
      </c>
      <c r="U1" s="56" t="s">
        <v>69</v>
      </c>
      <c r="V1" s="61" t="s">
        <v>70</v>
      </c>
      <c r="W1" s="62" t="s">
        <v>71</v>
      </c>
      <c r="X1" s="62" t="s">
        <v>72</v>
      </c>
      <c r="Y1" s="62" t="s">
        <v>73</v>
      </c>
      <c r="Z1" s="63" t="s">
        <v>74</v>
      </c>
      <c r="AA1" s="64" t="s">
        <v>75</v>
      </c>
    </row>
    <row r="2" spans="1:27" x14ac:dyDescent="0.25">
      <c r="A2" s="66" t="s">
        <v>76</v>
      </c>
      <c r="B2" s="66"/>
      <c r="C2" s="66"/>
      <c r="D2" s="66"/>
      <c r="E2" s="66"/>
      <c r="F2" s="66"/>
      <c r="G2" s="67"/>
      <c r="H2" s="68"/>
      <c r="I2" s="69"/>
      <c r="J2" s="70"/>
      <c r="K2" s="71"/>
      <c r="L2" s="72"/>
      <c r="M2" s="67"/>
      <c r="N2" s="67"/>
      <c r="O2" s="67"/>
      <c r="P2" s="67"/>
      <c r="Q2" s="68"/>
      <c r="R2" s="73"/>
      <c r="S2" s="67"/>
      <c r="T2" s="67"/>
      <c r="U2" s="68"/>
      <c r="V2" s="73"/>
    </row>
    <row r="3" spans="1:27" s="90" customFormat="1" x14ac:dyDescent="0.25">
      <c r="A3" s="130" t="s">
        <v>126</v>
      </c>
      <c r="B3" s="77">
        <v>49.673000000000002</v>
      </c>
      <c r="C3" s="77">
        <f>B3/I3</f>
        <v>1.5522812500000001</v>
      </c>
      <c r="D3" s="77">
        <f>C3*0.08</f>
        <v>0.1241825</v>
      </c>
      <c r="E3" s="78">
        <f t="shared" ref="E3:E66" si="0">D3/C3</f>
        <v>0.08</v>
      </c>
      <c r="F3" s="77"/>
      <c r="G3" s="79" t="s">
        <v>77</v>
      </c>
      <c r="H3" s="76">
        <v>400007951</v>
      </c>
      <c r="I3" s="80">
        <v>32</v>
      </c>
      <c r="J3" s="81">
        <v>18</v>
      </c>
      <c r="K3" s="82"/>
      <c r="L3" s="83">
        <f t="shared" ref="L3:L66" si="1">C3</f>
        <v>1.5522812500000001</v>
      </c>
      <c r="M3" s="84" t="s">
        <v>78</v>
      </c>
      <c r="N3" s="79" t="s">
        <v>79</v>
      </c>
      <c r="O3" s="84" t="s">
        <v>78</v>
      </c>
      <c r="P3" s="84" t="s">
        <v>78</v>
      </c>
      <c r="Q3" s="85" t="s">
        <v>78</v>
      </c>
      <c r="R3" s="84" t="s">
        <v>78</v>
      </c>
      <c r="S3" s="84" t="s">
        <v>78</v>
      </c>
      <c r="T3" s="79" t="s">
        <v>80</v>
      </c>
      <c r="U3" s="76">
        <v>3000</v>
      </c>
      <c r="V3" s="86">
        <f>L3*U3*1.01/1000</f>
        <v>4.7034121874999997</v>
      </c>
      <c r="W3" s="87" t="s">
        <v>81</v>
      </c>
      <c r="X3" s="87">
        <v>3</v>
      </c>
      <c r="Y3" s="87">
        <v>10</v>
      </c>
      <c r="Z3" s="88">
        <v>1.55</v>
      </c>
      <c r="AA3" s="89">
        <f>(Z3-C3)/Z3</f>
        <v>-1.4717741935483951E-3</v>
      </c>
    </row>
    <row r="4" spans="1:27" s="90" customFormat="1" x14ac:dyDescent="0.25">
      <c r="A4" s="130" t="s">
        <v>131</v>
      </c>
      <c r="B4" s="77">
        <v>85.349000000000004</v>
      </c>
      <c r="C4" s="77">
        <f t="shared" ref="C4:C66" si="2">B4/I4</f>
        <v>5.3343125000000002</v>
      </c>
      <c r="D4" s="77">
        <f>C4*0.05</f>
        <v>0.26671562500000001</v>
      </c>
      <c r="E4" s="78">
        <f t="shared" si="0"/>
        <v>0.05</v>
      </c>
      <c r="F4" s="77">
        <f>(C4+D4)*0.01</f>
        <v>5.6010281250000002E-2</v>
      </c>
      <c r="G4" s="79" t="s">
        <v>77</v>
      </c>
      <c r="H4" s="76">
        <v>400008906</v>
      </c>
      <c r="I4" s="80">
        <v>16</v>
      </c>
      <c r="J4" s="81">
        <v>29.3</v>
      </c>
      <c r="K4" s="82"/>
      <c r="L4" s="83">
        <f t="shared" si="1"/>
        <v>5.3343125000000002</v>
      </c>
      <c r="M4" s="84" t="s">
        <v>78</v>
      </c>
      <c r="N4" s="79" t="s">
        <v>79</v>
      </c>
      <c r="O4" s="84" t="s">
        <v>78</v>
      </c>
      <c r="P4" s="84" t="s">
        <v>78</v>
      </c>
      <c r="Q4" s="85" t="s">
        <v>78</v>
      </c>
      <c r="R4" s="84" t="s">
        <v>78</v>
      </c>
      <c r="S4" s="84" t="s">
        <v>78</v>
      </c>
      <c r="T4" s="79" t="s">
        <v>80</v>
      </c>
      <c r="U4" s="76">
        <v>1000</v>
      </c>
      <c r="V4" s="86">
        <f t="shared" ref="V4:V66" si="3">L4*U4*1.01/1000</f>
        <v>5.3876556250000007</v>
      </c>
      <c r="W4" s="87" t="s">
        <v>81</v>
      </c>
      <c r="X4" s="87">
        <v>3</v>
      </c>
      <c r="Y4" s="87">
        <v>10</v>
      </c>
      <c r="Z4" s="88">
        <v>5.4180000000000001</v>
      </c>
      <c r="AA4" s="89">
        <f t="shared" ref="AA4:AA66" si="4">(Z4-C4)/Z4</f>
        <v>1.544619785898854E-2</v>
      </c>
    </row>
    <row r="5" spans="1:27" s="90" customFormat="1" x14ac:dyDescent="0.25">
      <c r="A5" s="130" t="s">
        <v>125</v>
      </c>
      <c r="B5" s="77">
        <v>43.4</v>
      </c>
      <c r="C5" s="77">
        <f t="shared" si="2"/>
        <v>2.7124999999999999</v>
      </c>
      <c r="D5" s="77">
        <f>C5*0.05</f>
        <v>0.135625</v>
      </c>
      <c r="E5" s="78">
        <f t="shared" si="0"/>
        <v>0.05</v>
      </c>
      <c r="F5" s="77">
        <f>(C5+D5)*0.03</f>
        <v>8.5443749999999999E-2</v>
      </c>
      <c r="G5" s="79" t="s">
        <v>77</v>
      </c>
      <c r="H5" s="76">
        <v>400008908</v>
      </c>
      <c r="I5" s="80">
        <v>16</v>
      </c>
      <c r="J5" s="81">
        <v>21.1</v>
      </c>
      <c r="K5" s="82"/>
      <c r="L5" s="83">
        <f t="shared" si="1"/>
        <v>2.7124999999999999</v>
      </c>
      <c r="M5" s="84" t="s">
        <v>78</v>
      </c>
      <c r="N5" s="79" t="s">
        <v>79</v>
      </c>
      <c r="O5" s="84" t="s">
        <v>78</v>
      </c>
      <c r="P5" s="84" t="s">
        <v>78</v>
      </c>
      <c r="Q5" s="85" t="s">
        <v>78</v>
      </c>
      <c r="R5" s="84" t="s">
        <v>78</v>
      </c>
      <c r="S5" s="84" t="s">
        <v>78</v>
      </c>
      <c r="T5" s="79" t="s">
        <v>80</v>
      </c>
      <c r="U5" s="76">
        <v>2000</v>
      </c>
      <c r="V5" s="86">
        <f t="shared" si="3"/>
        <v>5.4792500000000004</v>
      </c>
      <c r="W5" s="87" t="s">
        <v>81</v>
      </c>
      <c r="X5" s="87">
        <v>3</v>
      </c>
      <c r="Y5" s="87">
        <v>10</v>
      </c>
      <c r="Z5" s="88">
        <v>2.71</v>
      </c>
      <c r="AA5" s="89">
        <f t="shared" si="4"/>
        <v>-9.2250922509223127E-4</v>
      </c>
    </row>
    <row r="6" spans="1:27" s="90" customFormat="1" x14ac:dyDescent="0.25">
      <c r="A6" s="130" t="s">
        <v>161</v>
      </c>
      <c r="B6" s="77">
        <v>28.847999999999999</v>
      </c>
      <c r="C6" s="77">
        <f t="shared" si="2"/>
        <v>1.8029999999999999</v>
      </c>
      <c r="D6" s="77">
        <f>C6*0.05</f>
        <v>9.0150000000000008E-2</v>
      </c>
      <c r="E6" s="78">
        <f t="shared" si="0"/>
        <v>0.05</v>
      </c>
      <c r="F6" s="77">
        <f>(C6+D6)*0.01</f>
        <v>1.89315E-2</v>
      </c>
      <c r="G6" s="79" t="s">
        <v>82</v>
      </c>
      <c r="H6" s="76">
        <v>400007952</v>
      </c>
      <c r="I6" s="80">
        <v>16</v>
      </c>
      <c r="J6" s="81">
        <v>18.8</v>
      </c>
      <c r="K6" s="82"/>
      <c r="L6" s="83">
        <f t="shared" si="1"/>
        <v>1.8029999999999999</v>
      </c>
      <c r="M6" s="84" t="s">
        <v>78</v>
      </c>
      <c r="N6" s="79" t="s">
        <v>79</v>
      </c>
      <c r="O6" s="84" t="s">
        <v>78</v>
      </c>
      <c r="P6" s="84" t="s">
        <v>78</v>
      </c>
      <c r="Q6" s="85" t="s">
        <v>78</v>
      </c>
      <c r="R6" s="84" t="s">
        <v>78</v>
      </c>
      <c r="S6" s="84" t="s">
        <v>78</v>
      </c>
      <c r="T6" s="79" t="s">
        <v>80</v>
      </c>
      <c r="U6" s="76">
        <v>1200</v>
      </c>
      <c r="V6" s="86">
        <f t="shared" si="3"/>
        <v>2.1852359999999997</v>
      </c>
      <c r="W6" s="87" t="s">
        <v>81</v>
      </c>
      <c r="X6" s="87">
        <v>3</v>
      </c>
      <c r="Y6" s="87">
        <v>10</v>
      </c>
      <c r="Z6" s="88">
        <v>1.8029999999999999</v>
      </c>
      <c r="AA6" s="89">
        <f t="shared" si="4"/>
        <v>0</v>
      </c>
    </row>
    <row r="7" spans="1:27" s="90" customFormat="1" x14ac:dyDescent="0.25">
      <c r="A7" s="130" t="s">
        <v>127</v>
      </c>
      <c r="B7" s="77">
        <v>80.510999999999996</v>
      </c>
      <c r="C7" s="77">
        <f t="shared" si="2"/>
        <v>5.0319374999999997</v>
      </c>
      <c r="D7" s="77">
        <f>C7*0.03</f>
        <v>0.150958125</v>
      </c>
      <c r="E7" s="78">
        <f t="shared" si="0"/>
        <v>3.0000000000000002E-2</v>
      </c>
      <c r="F7" s="77"/>
      <c r="G7" s="79" t="s">
        <v>77</v>
      </c>
      <c r="H7" s="76">
        <v>400007954</v>
      </c>
      <c r="I7" s="80">
        <v>16</v>
      </c>
      <c r="J7" s="81">
        <v>17.600000000000001</v>
      </c>
      <c r="K7" s="82"/>
      <c r="L7" s="83">
        <f t="shared" si="1"/>
        <v>5.0319374999999997</v>
      </c>
      <c r="M7" s="84" t="s">
        <v>78</v>
      </c>
      <c r="N7" s="79" t="s">
        <v>79</v>
      </c>
      <c r="O7" s="84" t="s">
        <v>78</v>
      </c>
      <c r="P7" s="84" t="s">
        <v>78</v>
      </c>
      <c r="Q7" s="85" t="s">
        <v>78</v>
      </c>
      <c r="R7" s="84" t="s">
        <v>78</v>
      </c>
      <c r="S7" s="84" t="s">
        <v>78</v>
      </c>
      <c r="T7" s="79" t="s">
        <v>80</v>
      </c>
      <c r="U7" s="76">
        <v>900</v>
      </c>
      <c r="V7" s="86">
        <f t="shared" si="3"/>
        <v>4.5740311875000002</v>
      </c>
      <c r="W7" s="87" t="s">
        <v>81</v>
      </c>
      <c r="X7" s="87">
        <v>3</v>
      </c>
      <c r="Y7" s="87">
        <v>10</v>
      </c>
      <c r="Z7" s="88">
        <v>5.0309999999999997</v>
      </c>
      <c r="AA7" s="89">
        <f t="shared" si="4"/>
        <v>-1.8634466308885622E-4</v>
      </c>
    </row>
    <row r="8" spans="1:27" s="90" customFormat="1" x14ac:dyDescent="0.25">
      <c r="A8" s="130" t="s">
        <v>128</v>
      </c>
      <c r="B8" s="77">
        <v>16.396999999999998</v>
      </c>
      <c r="C8" s="77">
        <f t="shared" si="2"/>
        <v>2.0496249999999998</v>
      </c>
      <c r="D8" s="77">
        <f>C8*0.03</f>
        <v>6.1488749999999995E-2</v>
      </c>
      <c r="E8" s="78">
        <f t="shared" si="0"/>
        <v>0.03</v>
      </c>
      <c r="F8" s="77">
        <f>(C8+D8)*0.0529</f>
        <v>0.111677917375</v>
      </c>
      <c r="G8" s="79" t="s">
        <v>82</v>
      </c>
      <c r="H8" s="76">
        <v>400007956</v>
      </c>
      <c r="I8" s="80">
        <v>8</v>
      </c>
      <c r="J8" s="81">
        <v>17.899999999999999</v>
      </c>
      <c r="K8" s="82"/>
      <c r="L8" s="83">
        <f t="shared" si="1"/>
        <v>2.0496249999999998</v>
      </c>
      <c r="M8" s="84" t="s">
        <v>78</v>
      </c>
      <c r="N8" s="79" t="s">
        <v>79</v>
      </c>
      <c r="O8" s="84" t="s">
        <v>78</v>
      </c>
      <c r="P8" s="84" t="s">
        <v>78</v>
      </c>
      <c r="Q8" s="85" t="s">
        <v>78</v>
      </c>
      <c r="R8" s="84" t="s">
        <v>78</v>
      </c>
      <c r="S8" s="84" t="s">
        <v>78</v>
      </c>
      <c r="T8" s="79" t="s">
        <v>80</v>
      </c>
      <c r="U8" s="76">
        <v>3000</v>
      </c>
      <c r="V8" s="86">
        <f t="shared" si="3"/>
        <v>6.21036375</v>
      </c>
      <c r="W8" s="87" t="s">
        <v>81</v>
      </c>
      <c r="X8" s="87">
        <v>3</v>
      </c>
      <c r="Y8" s="87">
        <v>10</v>
      </c>
      <c r="Z8" s="88">
        <v>2.0609999999999999</v>
      </c>
      <c r="AA8" s="89">
        <f t="shared" si="4"/>
        <v>5.5191654536633356E-3</v>
      </c>
    </row>
    <row r="9" spans="1:27" s="90" customFormat="1" x14ac:dyDescent="0.25">
      <c r="A9" s="130" t="s">
        <v>132</v>
      </c>
      <c r="B9" s="77">
        <v>25.515999999999998</v>
      </c>
      <c r="C9" s="77">
        <f t="shared" si="2"/>
        <v>3.1894999999999998</v>
      </c>
      <c r="D9" s="77">
        <f>C9*0.05</f>
        <v>0.15947500000000001</v>
      </c>
      <c r="E9" s="78">
        <f t="shared" si="0"/>
        <v>0.05</v>
      </c>
      <c r="F9" s="77"/>
      <c r="G9" s="79" t="s">
        <v>83</v>
      </c>
      <c r="H9" s="76">
        <v>400008425</v>
      </c>
      <c r="I9" s="80">
        <v>8</v>
      </c>
      <c r="J9" s="81">
        <v>16.8</v>
      </c>
      <c r="K9" s="82"/>
      <c r="L9" s="83">
        <f t="shared" si="1"/>
        <v>3.1894999999999998</v>
      </c>
      <c r="M9" s="84" t="s">
        <v>78</v>
      </c>
      <c r="N9" s="79" t="s">
        <v>79</v>
      </c>
      <c r="O9" s="84" t="s">
        <v>78</v>
      </c>
      <c r="P9" s="84" t="s">
        <v>78</v>
      </c>
      <c r="Q9" s="85" t="s">
        <v>78</v>
      </c>
      <c r="R9" s="84" t="s">
        <v>78</v>
      </c>
      <c r="S9" s="84" t="s">
        <v>78</v>
      </c>
      <c r="T9" s="79" t="s">
        <v>80</v>
      </c>
      <c r="U9" s="76">
        <v>1800</v>
      </c>
      <c r="V9" s="86">
        <f t="shared" si="3"/>
        <v>5.7985109999999995</v>
      </c>
      <c r="W9" s="87" t="s">
        <v>81</v>
      </c>
      <c r="X9" s="87">
        <v>3</v>
      </c>
      <c r="Y9" s="87">
        <v>10</v>
      </c>
      <c r="Z9" s="88">
        <v>3.19</v>
      </c>
      <c r="AA9" s="89">
        <f t="shared" si="4"/>
        <v>1.5673981191227806E-4</v>
      </c>
    </row>
    <row r="10" spans="1:27" s="90" customFormat="1" x14ac:dyDescent="0.25">
      <c r="A10" s="130" t="s">
        <v>130</v>
      </c>
      <c r="B10" s="77">
        <v>21.994</v>
      </c>
      <c r="C10" s="77">
        <f t="shared" si="2"/>
        <v>1.374625</v>
      </c>
      <c r="D10" s="77">
        <f>C10*0.03</f>
        <v>4.1238749999999998E-2</v>
      </c>
      <c r="E10" s="78">
        <f t="shared" si="0"/>
        <v>0.03</v>
      </c>
      <c r="F10" s="77"/>
      <c r="G10" s="79" t="s">
        <v>84</v>
      </c>
      <c r="H10" s="76">
        <v>400000993</v>
      </c>
      <c r="I10" s="80">
        <v>16</v>
      </c>
      <c r="J10" s="81">
        <v>14.2</v>
      </c>
      <c r="K10" s="82"/>
      <c r="L10" s="83">
        <f t="shared" si="1"/>
        <v>1.374625</v>
      </c>
      <c r="M10" s="84" t="s">
        <v>78</v>
      </c>
      <c r="N10" s="79" t="s">
        <v>79</v>
      </c>
      <c r="O10" s="84" t="s">
        <v>78</v>
      </c>
      <c r="P10" s="84" t="s">
        <v>78</v>
      </c>
      <c r="Q10" s="85" t="s">
        <v>78</v>
      </c>
      <c r="R10" s="84" t="s">
        <v>78</v>
      </c>
      <c r="S10" s="84" t="s">
        <v>78</v>
      </c>
      <c r="T10" s="79" t="s">
        <v>80</v>
      </c>
      <c r="U10" s="76">
        <v>4000</v>
      </c>
      <c r="V10" s="86">
        <f t="shared" si="3"/>
        <v>5.5534849999999993</v>
      </c>
      <c r="W10" s="87" t="s">
        <v>81</v>
      </c>
      <c r="X10" s="87">
        <v>3</v>
      </c>
      <c r="Y10" s="87">
        <v>10</v>
      </c>
      <c r="Z10" s="88">
        <v>1.375</v>
      </c>
      <c r="AA10" s="89">
        <f t="shared" si="4"/>
        <v>2.7272727272728304E-4</v>
      </c>
    </row>
    <row r="11" spans="1:27" s="90" customFormat="1" x14ac:dyDescent="0.25">
      <c r="A11" s="130" t="s">
        <v>162</v>
      </c>
      <c r="B11" s="77">
        <v>78.031000000000006</v>
      </c>
      <c r="C11" s="77">
        <f t="shared" si="2"/>
        <v>9.7538750000000007</v>
      </c>
      <c r="D11" s="77">
        <f>C11*0.04</f>
        <v>0.39015500000000003</v>
      </c>
      <c r="E11" s="78">
        <f t="shared" si="0"/>
        <v>0.04</v>
      </c>
      <c r="F11" s="77"/>
      <c r="G11" s="79" t="s">
        <v>82</v>
      </c>
      <c r="H11" s="76">
        <v>400007955</v>
      </c>
      <c r="I11" s="80">
        <v>8</v>
      </c>
      <c r="J11" s="81">
        <v>20.7</v>
      </c>
      <c r="K11" s="82"/>
      <c r="L11" s="83">
        <f t="shared" si="1"/>
        <v>9.7538750000000007</v>
      </c>
      <c r="M11" s="84" t="s">
        <v>78</v>
      </c>
      <c r="N11" s="79" t="s">
        <v>79</v>
      </c>
      <c r="O11" s="84" t="s">
        <v>78</v>
      </c>
      <c r="P11" s="84" t="s">
        <v>78</v>
      </c>
      <c r="Q11" s="85" t="s">
        <v>78</v>
      </c>
      <c r="R11" s="84" t="s">
        <v>78</v>
      </c>
      <c r="S11" s="84" t="s">
        <v>78</v>
      </c>
      <c r="T11" s="79" t="s">
        <v>80</v>
      </c>
      <c r="U11" s="76">
        <v>450</v>
      </c>
      <c r="V11" s="86">
        <f t="shared" si="3"/>
        <v>4.4331361875000006</v>
      </c>
      <c r="W11" s="87" t="s">
        <v>81</v>
      </c>
      <c r="X11" s="87">
        <v>3</v>
      </c>
      <c r="Y11" s="87">
        <v>10</v>
      </c>
      <c r="Z11" s="88">
        <v>9.8529999999999998</v>
      </c>
      <c r="AA11" s="89">
        <f t="shared" si="4"/>
        <v>1.0060387699177817E-2</v>
      </c>
    </row>
    <row r="12" spans="1:27" s="90" customFormat="1" x14ac:dyDescent="0.25">
      <c r="A12" s="130" t="s">
        <v>129</v>
      </c>
      <c r="B12" s="77">
        <v>14.316000000000001</v>
      </c>
      <c r="C12" s="77">
        <f t="shared" si="2"/>
        <v>3.5790000000000002</v>
      </c>
      <c r="D12" s="77">
        <f>C12*0.05</f>
        <v>0.17895000000000003</v>
      </c>
      <c r="E12" s="78">
        <f t="shared" si="0"/>
        <v>0.05</v>
      </c>
      <c r="F12" s="77"/>
      <c r="G12" s="79" t="s">
        <v>83</v>
      </c>
      <c r="H12" s="76">
        <v>400007944</v>
      </c>
      <c r="I12" s="80">
        <v>4</v>
      </c>
      <c r="J12" s="81">
        <v>11.9</v>
      </c>
      <c r="K12" s="82"/>
      <c r="L12" s="83">
        <f t="shared" si="1"/>
        <v>3.5790000000000002</v>
      </c>
      <c r="M12" s="84" t="s">
        <v>78</v>
      </c>
      <c r="N12" s="79" t="s">
        <v>79</v>
      </c>
      <c r="O12" s="84" t="s">
        <v>78</v>
      </c>
      <c r="P12" s="84" t="s">
        <v>78</v>
      </c>
      <c r="Q12" s="85" t="s">
        <v>78</v>
      </c>
      <c r="R12" s="84" t="s">
        <v>78</v>
      </c>
      <c r="S12" s="84" t="s">
        <v>78</v>
      </c>
      <c r="T12" s="79" t="s">
        <v>80</v>
      </c>
      <c r="U12" s="76">
        <v>1500</v>
      </c>
      <c r="V12" s="86">
        <f t="shared" si="3"/>
        <v>5.4221850000000007</v>
      </c>
      <c r="W12" s="87" t="s">
        <v>81</v>
      </c>
      <c r="X12" s="87">
        <v>3</v>
      </c>
      <c r="Y12" s="87">
        <v>10</v>
      </c>
      <c r="Z12" s="88">
        <v>3.5790000000000002</v>
      </c>
      <c r="AA12" s="89">
        <f t="shared" si="4"/>
        <v>0</v>
      </c>
    </row>
    <row r="13" spans="1:27" s="90" customFormat="1" x14ac:dyDescent="0.25">
      <c r="A13" s="130" t="s">
        <v>164</v>
      </c>
      <c r="B13" s="77">
        <v>27.960999999999999</v>
      </c>
      <c r="C13" s="77">
        <f t="shared" si="2"/>
        <v>27.960999999999999</v>
      </c>
      <c r="D13" s="77">
        <f>C13*0.03</f>
        <v>0.83882999999999996</v>
      </c>
      <c r="E13" s="78">
        <f t="shared" si="0"/>
        <v>0.03</v>
      </c>
      <c r="F13" s="77"/>
      <c r="G13" s="79" t="s">
        <v>83</v>
      </c>
      <c r="H13" s="76">
        <v>400006161</v>
      </c>
      <c r="I13" s="80">
        <v>1</v>
      </c>
      <c r="J13" s="81">
        <v>14.8</v>
      </c>
      <c r="K13" s="82"/>
      <c r="L13" s="83">
        <f t="shared" si="1"/>
        <v>27.960999999999999</v>
      </c>
      <c r="M13" s="84" t="s">
        <v>78</v>
      </c>
      <c r="N13" s="79" t="s">
        <v>79</v>
      </c>
      <c r="O13" s="84" t="s">
        <v>78</v>
      </c>
      <c r="P13" s="84" t="s">
        <v>78</v>
      </c>
      <c r="Q13" s="85" t="s">
        <v>78</v>
      </c>
      <c r="R13" s="84" t="s">
        <v>78</v>
      </c>
      <c r="S13" s="84" t="s">
        <v>78</v>
      </c>
      <c r="T13" s="79" t="s">
        <v>85</v>
      </c>
      <c r="U13" s="76">
        <v>100</v>
      </c>
      <c r="V13" s="86">
        <f t="shared" si="3"/>
        <v>2.8240609999999999</v>
      </c>
      <c r="W13" s="87" t="s">
        <v>81</v>
      </c>
      <c r="X13" s="87">
        <v>3</v>
      </c>
      <c r="Y13" s="87">
        <v>5</v>
      </c>
      <c r="Z13" s="88">
        <v>28</v>
      </c>
      <c r="AA13" s="89">
        <f t="shared" si="4"/>
        <v>1.3928571428571956E-3</v>
      </c>
    </row>
    <row r="14" spans="1:27" s="90" customFormat="1" ht="15.75" customHeight="1" x14ac:dyDescent="0.25">
      <c r="A14" s="130" t="s">
        <v>165</v>
      </c>
      <c r="B14" s="77">
        <v>27.872</v>
      </c>
      <c r="C14" s="77">
        <f t="shared" si="2"/>
        <v>27.872</v>
      </c>
      <c r="D14" s="77">
        <f>C14*0.03</f>
        <v>0.83616000000000001</v>
      </c>
      <c r="E14" s="78">
        <f t="shared" si="0"/>
        <v>3.0000000000000002E-2</v>
      </c>
      <c r="F14" s="77">
        <f>(C14+D14)*0.02</f>
        <v>0.57416319999999998</v>
      </c>
      <c r="G14" s="79" t="s">
        <v>83</v>
      </c>
      <c r="H14" s="76">
        <v>400006162</v>
      </c>
      <c r="I14" s="80">
        <v>1</v>
      </c>
      <c r="J14" s="81">
        <v>15.2</v>
      </c>
      <c r="K14" s="82"/>
      <c r="L14" s="83">
        <f t="shared" si="1"/>
        <v>27.872</v>
      </c>
      <c r="M14" s="84" t="s">
        <v>78</v>
      </c>
      <c r="N14" s="79" t="s">
        <v>79</v>
      </c>
      <c r="O14" s="84" t="s">
        <v>78</v>
      </c>
      <c r="P14" s="84" t="s">
        <v>78</v>
      </c>
      <c r="Q14" s="85" t="s">
        <v>78</v>
      </c>
      <c r="R14" s="84" t="s">
        <v>78</v>
      </c>
      <c r="S14" s="84" t="s">
        <v>78</v>
      </c>
      <c r="T14" s="79" t="s">
        <v>85</v>
      </c>
      <c r="U14" s="76">
        <v>100</v>
      </c>
      <c r="V14" s="86">
        <f t="shared" si="3"/>
        <v>2.8150719999999998</v>
      </c>
      <c r="W14" s="87" t="s">
        <v>81</v>
      </c>
      <c r="X14" s="87">
        <v>3</v>
      </c>
      <c r="Y14" s="87">
        <v>5</v>
      </c>
      <c r="Z14" s="88">
        <v>27.8</v>
      </c>
      <c r="AA14" s="89">
        <f t="shared" si="4"/>
        <v>-2.5899280575539269E-3</v>
      </c>
    </row>
    <row r="15" spans="1:27" s="90" customFormat="1" x14ac:dyDescent="0.25">
      <c r="A15" s="130" t="s">
        <v>166</v>
      </c>
      <c r="B15" s="77">
        <v>16.3</v>
      </c>
      <c r="C15" s="77">
        <f t="shared" si="2"/>
        <v>16.3</v>
      </c>
      <c r="D15" s="77">
        <f>C15*0.05</f>
        <v>0.81500000000000006</v>
      </c>
      <c r="E15" s="78">
        <f t="shared" si="0"/>
        <v>0.05</v>
      </c>
      <c r="F15" s="77"/>
      <c r="G15" s="79" t="s">
        <v>86</v>
      </c>
      <c r="H15" s="76">
        <v>400007319</v>
      </c>
      <c r="I15" s="80">
        <v>1</v>
      </c>
      <c r="J15" s="81">
        <v>17.100000000000001</v>
      </c>
      <c r="K15" s="82"/>
      <c r="L15" s="83">
        <f t="shared" si="1"/>
        <v>16.3</v>
      </c>
      <c r="M15" s="84" t="s">
        <v>78</v>
      </c>
      <c r="N15" s="79" t="s">
        <v>79</v>
      </c>
      <c r="O15" s="84" t="s">
        <v>78</v>
      </c>
      <c r="P15" s="84" t="s">
        <v>78</v>
      </c>
      <c r="Q15" s="85" t="s">
        <v>78</v>
      </c>
      <c r="R15" s="84" t="s">
        <v>78</v>
      </c>
      <c r="S15" s="84" t="s">
        <v>78</v>
      </c>
      <c r="T15" s="79" t="s">
        <v>85</v>
      </c>
      <c r="U15" s="76">
        <v>250</v>
      </c>
      <c r="V15" s="86">
        <f t="shared" si="3"/>
        <v>4.1157500000000002</v>
      </c>
      <c r="W15" s="87" t="s">
        <v>81</v>
      </c>
      <c r="X15" s="87">
        <v>3</v>
      </c>
      <c r="Y15" s="87">
        <v>5</v>
      </c>
      <c r="Z15" s="88">
        <v>16.3</v>
      </c>
      <c r="AA15" s="89">
        <f t="shared" si="4"/>
        <v>0</v>
      </c>
    </row>
    <row r="16" spans="1:27" s="90" customFormat="1" x14ac:dyDescent="0.25">
      <c r="A16" s="130" t="s">
        <v>167</v>
      </c>
      <c r="B16" s="77">
        <v>19.670000000000002</v>
      </c>
      <c r="C16" s="77">
        <f t="shared" si="2"/>
        <v>19.670000000000002</v>
      </c>
      <c r="D16" s="77">
        <f>C16*0.05</f>
        <v>0.98350000000000015</v>
      </c>
      <c r="E16" s="78">
        <f t="shared" si="0"/>
        <v>0.05</v>
      </c>
      <c r="F16" s="77"/>
      <c r="G16" s="79" t="s">
        <v>86</v>
      </c>
      <c r="H16" s="76">
        <v>400007320</v>
      </c>
      <c r="I16" s="80">
        <v>1</v>
      </c>
      <c r="J16" s="81">
        <v>18.399999999999999</v>
      </c>
      <c r="K16" s="82"/>
      <c r="L16" s="83">
        <f t="shared" si="1"/>
        <v>19.670000000000002</v>
      </c>
      <c r="M16" s="84" t="s">
        <v>78</v>
      </c>
      <c r="N16" s="79" t="s">
        <v>79</v>
      </c>
      <c r="O16" s="84" t="s">
        <v>78</v>
      </c>
      <c r="P16" s="84" t="s">
        <v>78</v>
      </c>
      <c r="Q16" s="85" t="s">
        <v>78</v>
      </c>
      <c r="R16" s="84" t="s">
        <v>78</v>
      </c>
      <c r="S16" s="84" t="s">
        <v>78</v>
      </c>
      <c r="T16" s="79" t="s">
        <v>85</v>
      </c>
      <c r="U16" s="76">
        <v>250</v>
      </c>
      <c r="V16" s="86">
        <f t="shared" si="3"/>
        <v>4.9666750000000004</v>
      </c>
      <c r="W16" s="87" t="s">
        <v>81</v>
      </c>
      <c r="X16" s="87">
        <v>3</v>
      </c>
      <c r="Y16" s="87">
        <v>5</v>
      </c>
      <c r="Z16" s="88">
        <v>19.670000000000002</v>
      </c>
      <c r="AA16" s="89">
        <f t="shared" si="4"/>
        <v>0</v>
      </c>
    </row>
    <row r="17" spans="1:27" s="90" customFormat="1" x14ac:dyDescent="0.25">
      <c r="A17" s="130" t="s">
        <v>133</v>
      </c>
      <c r="B17" s="77">
        <v>10.712</v>
      </c>
      <c r="C17" s="77">
        <f t="shared" si="2"/>
        <v>0.66949999999999998</v>
      </c>
      <c r="D17" s="77">
        <f>C17*0.04</f>
        <v>2.6779999999999998E-2</v>
      </c>
      <c r="E17" s="78">
        <f t="shared" si="0"/>
        <v>0.04</v>
      </c>
      <c r="F17" s="77"/>
      <c r="G17" s="79" t="s">
        <v>83</v>
      </c>
      <c r="H17" s="76">
        <v>400003424</v>
      </c>
      <c r="I17" s="80">
        <v>16</v>
      </c>
      <c r="J17" s="81">
        <v>13.2</v>
      </c>
      <c r="K17" s="82"/>
      <c r="L17" s="83">
        <f t="shared" si="1"/>
        <v>0.66949999999999998</v>
      </c>
      <c r="M17" s="84" t="s">
        <v>78</v>
      </c>
      <c r="N17" s="79" t="s">
        <v>79</v>
      </c>
      <c r="O17" s="84" t="s">
        <v>78</v>
      </c>
      <c r="P17" s="84" t="s">
        <v>78</v>
      </c>
      <c r="Q17" s="85" t="s">
        <v>78</v>
      </c>
      <c r="R17" s="84" t="s">
        <v>78</v>
      </c>
      <c r="S17" s="84" t="s">
        <v>78</v>
      </c>
      <c r="T17" s="79" t="s">
        <v>85</v>
      </c>
      <c r="U17" s="76">
        <v>20000</v>
      </c>
      <c r="V17" s="86">
        <f t="shared" si="3"/>
        <v>13.523899999999999</v>
      </c>
      <c r="W17" s="87" t="s">
        <v>81</v>
      </c>
      <c r="X17" s="87">
        <v>3</v>
      </c>
      <c r="Y17" s="87">
        <v>5</v>
      </c>
      <c r="Z17" s="88">
        <v>0.67</v>
      </c>
      <c r="AA17" s="89">
        <f t="shared" si="4"/>
        <v>7.462686567165014E-4</v>
      </c>
    </row>
    <row r="18" spans="1:27" s="90" customFormat="1" x14ac:dyDescent="0.25">
      <c r="A18" s="130" t="s">
        <v>168</v>
      </c>
      <c r="B18" s="77">
        <v>45.478000000000002</v>
      </c>
      <c r="C18" s="77">
        <f t="shared" si="2"/>
        <v>45.478000000000002</v>
      </c>
      <c r="D18" s="77">
        <v>2.7149999999999999</v>
      </c>
      <c r="E18" s="78">
        <f t="shared" si="0"/>
        <v>5.9699195215268917E-2</v>
      </c>
      <c r="F18" s="91"/>
      <c r="G18" s="79" t="s">
        <v>77</v>
      </c>
      <c r="H18" s="85">
        <v>400008814</v>
      </c>
      <c r="I18" s="80">
        <v>1</v>
      </c>
      <c r="J18" s="81">
        <v>29</v>
      </c>
      <c r="K18" s="82"/>
      <c r="L18" s="83">
        <f t="shared" si="1"/>
        <v>45.478000000000002</v>
      </c>
      <c r="M18" s="84" t="s">
        <v>78</v>
      </c>
      <c r="N18" s="79" t="s">
        <v>79</v>
      </c>
      <c r="O18" s="84" t="s">
        <v>78</v>
      </c>
      <c r="P18" s="84" t="s">
        <v>78</v>
      </c>
      <c r="Q18" s="85" t="s">
        <v>78</v>
      </c>
      <c r="R18" s="84" t="s">
        <v>78</v>
      </c>
      <c r="S18" s="84" t="s">
        <v>78</v>
      </c>
      <c r="T18" s="79" t="s">
        <v>85</v>
      </c>
      <c r="U18" s="76">
        <v>100</v>
      </c>
      <c r="V18" s="86">
        <f t="shared" si="3"/>
        <v>4.5932780000000006</v>
      </c>
      <c r="W18" s="87" t="s">
        <v>81</v>
      </c>
      <c r="X18" s="87">
        <v>3</v>
      </c>
      <c r="Y18" s="87">
        <v>5</v>
      </c>
      <c r="Z18" s="88"/>
      <c r="AA18" s="89" t="e">
        <f t="shared" si="4"/>
        <v>#DIV/0!</v>
      </c>
    </row>
    <row r="19" spans="1:27" s="90" customFormat="1" x14ac:dyDescent="0.25">
      <c r="A19" s="130" t="s">
        <v>169</v>
      </c>
      <c r="B19" s="77">
        <v>45.594999999999999</v>
      </c>
      <c r="C19" s="77">
        <f t="shared" si="2"/>
        <v>45.594999999999999</v>
      </c>
      <c r="D19" s="77">
        <v>2.7149999999999999</v>
      </c>
      <c r="E19" s="78">
        <f t="shared" si="0"/>
        <v>5.9546002851189821E-2</v>
      </c>
      <c r="F19" s="91"/>
      <c r="G19" s="79" t="s">
        <v>77</v>
      </c>
      <c r="H19" s="85">
        <v>400008814</v>
      </c>
      <c r="I19" s="80">
        <v>1</v>
      </c>
      <c r="J19" s="81">
        <v>29</v>
      </c>
      <c r="K19" s="82"/>
      <c r="L19" s="83">
        <f t="shared" si="1"/>
        <v>45.594999999999999</v>
      </c>
      <c r="M19" s="84" t="s">
        <v>78</v>
      </c>
      <c r="N19" s="79" t="s">
        <v>79</v>
      </c>
      <c r="O19" s="84" t="s">
        <v>78</v>
      </c>
      <c r="P19" s="84" t="s">
        <v>78</v>
      </c>
      <c r="Q19" s="85" t="s">
        <v>78</v>
      </c>
      <c r="R19" s="84" t="s">
        <v>78</v>
      </c>
      <c r="S19" s="84" t="s">
        <v>78</v>
      </c>
      <c r="T19" s="79" t="s">
        <v>85</v>
      </c>
      <c r="U19" s="76">
        <v>100</v>
      </c>
      <c r="V19" s="86">
        <f t="shared" si="3"/>
        <v>4.6050950000000004</v>
      </c>
      <c r="W19" s="87" t="s">
        <v>81</v>
      </c>
      <c r="X19" s="87">
        <v>3</v>
      </c>
      <c r="Y19" s="87">
        <v>5</v>
      </c>
      <c r="Z19" s="88"/>
      <c r="AA19" s="89" t="e">
        <f t="shared" si="4"/>
        <v>#DIV/0!</v>
      </c>
    </row>
    <row r="20" spans="1:27" s="90" customFormat="1" x14ac:dyDescent="0.25">
      <c r="A20" s="130" t="s">
        <v>170</v>
      </c>
      <c r="B20" s="77">
        <v>78.730999999999995</v>
      </c>
      <c r="C20" s="77">
        <f t="shared" si="2"/>
        <v>78.730999999999995</v>
      </c>
      <c r="D20" s="77">
        <v>4.1820000000000004</v>
      </c>
      <c r="E20" s="78">
        <f t="shared" si="0"/>
        <v>5.3117577574271893E-2</v>
      </c>
      <c r="F20" s="91"/>
      <c r="G20" s="79" t="s">
        <v>77</v>
      </c>
      <c r="H20" s="85">
        <v>400008820</v>
      </c>
      <c r="I20" s="80">
        <v>1</v>
      </c>
      <c r="J20" s="81">
        <v>28.6</v>
      </c>
      <c r="K20" s="82"/>
      <c r="L20" s="83">
        <f t="shared" si="1"/>
        <v>78.730999999999995</v>
      </c>
      <c r="M20" s="84" t="s">
        <v>78</v>
      </c>
      <c r="N20" s="79" t="s">
        <v>79</v>
      </c>
      <c r="O20" s="84" t="s">
        <v>78</v>
      </c>
      <c r="P20" s="84" t="s">
        <v>78</v>
      </c>
      <c r="Q20" s="85" t="s">
        <v>78</v>
      </c>
      <c r="R20" s="84" t="s">
        <v>78</v>
      </c>
      <c r="S20" s="84" t="s">
        <v>78</v>
      </c>
      <c r="T20" s="79" t="s">
        <v>85</v>
      </c>
      <c r="U20" s="76">
        <v>40</v>
      </c>
      <c r="V20" s="86">
        <f t="shared" si="3"/>
        <v>3.1807323999999997</v>
      </c>
      <c r="W20" s="87" t="s">
        <v>81</v>
      </c>
      <c r="X20" s="87">
        <v>3</v>
      </c>
      <c r="Y20" s="87">
        <v>5</v>
      </c>
      <c r="Z20" s="88"/>
      <c r="AA20" s="89" t="e">
        <f t="shared" si="4"/>
        <v>#DIV/0!</v>
      </c>
    </row>
    <row r="21" spans="1:27" s="90" customFormat="1" x14ac:dyDescent="0.25">
      <c r="A21" s="130" t="s">
        <v>171</v>
      </c>
      <c r="B21" s="77">
        <v>61.619</v>
      </c>
      <c r="C21" s="77">
        <f t="shared" si="2"/>
        <v>61.619</v>
      </c>
      <c r="D21" s="77">
        <v>4.1820000000000004</v>
      </c>
      <c r="E21" s="78">
        <f t="shared" si="0"/>
        <v>6.7868676869147507E-2</v>
      </c>
      <c r="F21" s="91"/>
      <c r="G21" s="79" t="s">
        <v>77</v>
      </c>
      <c r="H21" s="85">
        <v>400008820</v>
      </c>
      <c r="I21" s="80">
        <v>1</v>
      </c>
      <c r="J21" s="81">
        <v>28.6</v>
      </c>
      <c r="K21" s="82"/>
      <c r="L21" s="83">
        <f t="shared" si="1"/>
        <v>61.619</v>
      </c>
      <c r="M21" s="84" t="s">
        <v>78</v>
      </c>
      <c r="N21" s="79" t="s">
        <v>79</v>
      </c>
      <c r="O21" s="84" t="s">
        <v>78</v>
      </c>
      <c r="P21" s="84" t="s">
        <v>78</v>
      </c>
      <c r="Q21" s="85" t="s">
        <v>78</v>
      </c>
      <c r="R21" s="84" t="s">
        <v>78</v>
      </c>
      <c r="S21" s="84" t="s">
        <v>78</v>
      </c>
      <c r="T21" s="79" t="s">
        <v>85</v>
      </c>
      <c r="U21" s="76">
        <v>40</v>
      </c>
      <c r="V21" s="86">
        <f t="shared" si="3"/>
        <v>2.4894076000000003</v>
      </c>
      <c r="W21" s="87" t="s">
        <v>81</v>
      </c>
      <c r="X21" s="87">
        <v>3</v>
      </c>
      <c r="Y21" s="87">
        <v>5</v>
      </c>
      <c r="Z21" s="88"/>
      <c r="AA21" s="89" t="e">
        <f t="shared" si="4"/>
        <v>#DIV/0!</v>
      </c>
    </row>
    <row r="22" spans="1:27" s="90" customFormat="1" x14ac:dyDescent="0.25">
      <c r="A22" s="130" t="s">
        <v>134</v>
      </c>
      <c r="B22" s="77">
        <v>58.311999999999998</v>
      </c>
      <c r="C22" s="77">
        <f t="shared" si="2"/>
        <v>29.155999999999999</v>
      </c>
      <c r="D22" s="77">
        <f>C22*0.03</f>
        <v>0.8746799999999999</v>
      </c>
      <c r="E22" s="78">
        <f t="shared" si="0"/>
        <v>0.03</v>
      </c>
      <c r="F22" s="92"/>
      <c r="G22" s="79" t="s">
        <v>84</v>
      </c>
      <c r="H22" s="85">
        <v>400008685</v>
      </c>
      <c r="I22" s="80">
        <v>2</v>
      </c>
      <c r="J22" s="81">
        <v>22.4</v>
      </c>
      <c r="K22" s="82"/>
      <c r="L22" s="83">
        <f t="shared" si="1"/>
        <v>29.155999999999999</v>
      </c>
      <c r="M22" s="84" t="s">
        <v>78</v>
      </c>
      <c r="N22" s="79" t="s">
        <v>79</v>
      </c>
      <c r="O22" s="84" t="s">
        <v>78</v>
      </c>
      <c r="P22" s="84" t="s">
        <v>78</v>
      </c>
      <c r="Q22" s="85" t="s">
        <v>78</v>
      </c>
      <c r="R22" s="84" t="s">
        <v>78</v>
      </c>
      <c r="S22" s="84" t="s">
        <v>78</v>
      </c>
      <c r="T22" s="79" t="s">
        <v>85</v>
      </c>
      <c r="U22" s="76">
        <v>150</v>
      </c>
      <c r="V22" s="86">
        <f t="shared" si="3"/>
        <v>4.4171339999999999</v>
      </c>
      <c r="W22" s="87" t="s">
        <v>81</v>
      </c>
      <c r="X22" s="87">
        <v>3</v>
      </c>
      <c r="Y22" s="87">
        <v>5</v>
      </c>
      <c r="Z22" s="93">
        <v>29.2</v>
      </c>
      <c r="AA22" s="89">
        <f t="shared" si="4"/>
        <v>1.5068493150685097E-3</v>
      </c>
    </row>
    <row r="23" spans="1:27" s="90" customFormat="1" x14ac:dyDescent="0.25">
      <c r="A23" s="131" t="s">
        <v>177</v>
      </c>
      <c r="B23" s="77">
        <v>22.434000000000001</v>
      </c>
      <c r="C23" s="77">
        <f t="shared" si="2"/>
        <v>2.8042500000000001</v>
      </c>
      <c r="D23" s="77">
        <f>C23*0.02</f>
        <v>5.6085000000000003E-2</v>
      </c>
      <c r="E23" s="78">
        <f t="shared" si="0"/>
        <v>0.02</v>
      </c>
      <c r="F23" s="77"/>
      <c r="G23" s="79" t="s">
        <v>86</v>
      </c>
      <c r="H23" s="85">
        <v>310582435</v>
      </c>
      <c r="I23" s="80">
        <v>8</v>
      </c>
      <c r="J23" s="81">
        <v>15.4</v>
      </c>
      <c r="K23" s="82"/>
      <c r="L23" s="83">
        <f t="shared" si="1"/>
        <v>2.8042500000000001</v>
      </c>
      <c r="M23" s="84" t="s">
        <v>78</v>
      </c>
      <c r="N23" s="79" t="s">
        <v>87</v>
      </c>
      <c r="O23" s="94">
        <v>250</v>
      </c>
      <c r="P23" s="79" t="s">
        <v>88</v>
      </c>
      <c r="Q23" s="76">
        <v>800</v>
      </c>
      <c r="R23" s="86">
        <f>MROUND((L23*Q23*1.01/1000), ((I23*C23)/1000))</f>
        <v>2.2658340000000003</v>
      </c>
      <c r="S23" s="79">
        <v>4</v>
      </c>
      <c r="T23" s="79" t="s">
        <v>85</v>
      </c>
      <c r="U23" s="76">
        <v>3200</v>
      </c>
      <c r="V23" s="86">
        <f t="shared" si="3"/>
        <v>9.0633360000000014</v>
      </c>
      <c r="W23" s="87" t="s">
        <v>81</v>
      </c>
      <c r="X23" s="87">
        <v>3</v>
      </c>
      <c r="Y23" s="87">
        <v>5</v>
      </c>
      <c r="Z23" s="88">
        <v>2.8050000000000002</v>
      </c>
      <c r="AA23" s="89">
        <f t="shared" si="4"/>
        <v>2.6737967914439517E-4</v>
      </c>
    </row>
    <row r="24" spans="1:27" s="90" customFormat="1" x14ac:dyDescent="0.25">
      <c r="A24" s="130" t="s">
        <v>135</v>
      </c>
      <c r="B24" s="77">
        <v>8.4710000000000001</v>
      </c>
      <c r="C24" s="77">
        <f t="shared" si="2"/>
        <v>1.058875</v>
      </c>
      <c r="D24" s="77">
        <f>C24*0.06</f>
        <v>6.3532499999999992E-2</v>
      </c>
      <c r="E24" s="78">
        <f t="shared" si="0"/>
        <v>5.9999999999999991E-2</v>
      </c>
      <c r="F24" s="77"/>
      <c r="G24" s="79" t="s">
        <v>83</v>
      </c>
      <c r="H24" s="76">
        <v>340000482</v>
      </c>
      <c r="I24" s="80">
        <v>8</v>
      </c>
      <c r="J24" s="81">
        <v>13.9</v>
      </c>
      <c r="K24" s="82"/>
      <c r="L24" s="83">
        <f t="shared" si="1"/>
        <v>1.058875</v>
      </c>
      <c r="M24" s="84" t="s">
        <v>78</v>
      </c>
      <c r="N24" s="79" t="s">
        <v>87</v>
      </c>
      <c r="O24" s="84">
        <v>50</v>
      </c>
      <c r="P24" s="79" t="s">
        <v>88</v>
      </c>
      <c r="Q24" s="76">
        <v>1000</v>
      </c>
      <c r="R24" s="86">
        <f>MROUND((L24*Q24*1.01/1000), ((I24*C24)/1000))</f>
        <v>1.0673459999999999</v>
      </c>
      <c r="S24" s="79">
        <v>5</v>
      </c>
      <c r="T24" s="79" t="s">
        <v>80</v>
      </c>
      <c r="U24" s="76">
        <v>5000</v>
      </c>
      <c r="V24" s="86">
        <f t="shared" si="3"/>
        <v>5.3473187500000003</v>
      </c>
      <c r="W24" s="87" t="s">
        <v>81</v>
      </c>
      <c r="X24" s="87">
        <v>3</v>
      </c>
      <c r="Y24" s="87">
        <v>10</v>
      </c>
      <c r="Z24" s="88">
        <v>1.0609999999999999</v>
      </c>
      <c r="AA24" s="89">
        <f t="shared" si="4"/>
        <v>2.0028275212063454E-3</v>
      </c>
    </row>
    <row r="25" spans="1:27" s="90" customFormat="1" x14ac:dyDescent="0.25">
      <c r="A25" s="131" t="s">
        <v>37</v>
      </c>
      <c r="B25" s="77">
        <v>28.625</v>
      </c>
      <c r="C25" s="77">
        <f t="shared" si="2"/>
        <v>1.7890625</v>
      </c>
      <c r="D25" s="77">
        <f>C25*0.03</f>
        <v>5.3671875000000001E-2</v>
      </c>
      <c r="E25" s="78">
        <f t="shared" si="0"/>
        <v>0.03</v>
      </c>
      <c r="F25" s="77">
        <f>(C25+D25)*0.01</f>
        <v>1.8427343750000002E-2</v>
      </c>
      <c r="G25" s="79" t="s">
        <v>83</v>
      </c>
      <c r="H25" s="85">
        <v>206326901</v>
      </c>
      <c r="I25" s="80">
        <v>16</v>
      </c>
      <c r="J25" s="81">
        <v>20.399999999999999</v>
      </c>
      <c r="K25" s="82"/>
      <c r="L25" s="83">
        <f t="shared" si="1"/>
        <v>1.7890625</v>
      </c>
      <c r="M25" s="84" t="s">
        <v>78</v>
      </c>
      <c r="N25" s="79" t="s">
        <v>79</v>
      </c>
      <c r="O25" s="84" t="s">
        <v>78</v>
      </c>
      <c r="P25" s="84" t="s">
        <v>78</v>
      </c>
      <c r="Q25" s="85" t="s">
        <v>78</v>
      </c>
      <c r="R25" s="84" t="s">
        <v>78</v>
      </c>
      <c r="S25" s="84" t="s">
        <v>78</v>
      </c>
      <c r="T25" s="79" t="s">
        <v>80</v>
      </c>
      <c r="U25" s="76">
        <v>6000</v>
      </c>
      <c r="V25" s="86">
        <f t="shared" si="3"/>
        <v>10.84171875</v>
      </c>
      <c r="W25" s="87" t="s">
        <v>81</v>
      </c>
      <c r="X25" s="87">
        <v>3</v>
      </c>
      <c r="Y25" s="87">
        <v>10</v>
      </c>
      <c r="Z25" s="88">
        <v>1.8</v>
      </c>
      <c r="AA25" s="89">
        <f t="shared" si="4"/>
        <v>6.0763888888889133E-3</v>
      </c>
    </row>
    <row r="26" spans="1:27" s="90" customFormat="1" x14ac:dyDescent="0.25">
      <c r="A26" s="131" t="s">
        <v>178</v>
      </c>
      <c r="B26" s="77">
        <v>27.373000000000001</v>
      </c>
      <c r="C26" s="77">
        <f t="shared" si="2"/>
        <v>3.4216250000000001</v>
      </c>
      <c r="D26" s="77">
        <f>C26*0.04</f>
        <v>0.13686500000000001</v>
      </c>
      <c r="E26" s="78">
        <f t="shared" si="0"/>
        <v>0.04</v>
      </c>
      <c r="F26" s="77"/>
      <c r="G26" s="79" t="s">
        <v>86</v>
      </c>
      <c r="H26" s="85">
        <v>310582435</v>
      </c>
      <c r="I26" s="80">
        <v>8</v>
      </c>
      <c r="J26" s="81">
        <v>15.3</v>
      </c>
      <c r="K26" s="82"/>
      <c r="L26" s="83">
        <f t="shared" si="1"/>
        <v>3.4216250000000001</v>
      </c>
      <c r="M26" s="84" t="s">
        <v>78</v>
      </c>
      <c r="N26" s="79" t="s">
        <v>79</v>
      </c>
      <c r="O26" s="84" t="s">
        <v>78</v>
      </c>
      <c r="P26" s="84" t="s">
        <v>78</v>
      </c>
      <c r="Q26" s="85" t="s">
        <v>78</v>
      </c>
      <c r="R26" s="84" t="s">
        <v>78</v>
      </c>
      <c r="S26" s="84" t="s">
        <v>78</v>
      </c>
      <c r="T26" s="79" t="s">
        <v>85</v>
      </c>
      <c r="U26" s="76">
        <v>4000</v>
      </c>
      <c r="V26" s="86">
        <f t="shared" si="3"/>
        <v>13.823364999999999</v>
      </c>
      <c r="W26" s="87" t="s">
        <v>81</v>
      </c>
      <c r="X26" s="87">
        <v>3</v>
      </c>
      <c r="Y26" s="87">
        <v>5</v>
      </c>
      <c r="Z26" s="88">
        <v>3.431</v>
      </c>
      <c r="AA26" s="89">
        <f t="shared" si="4"/>
        <v>2.7324395220052204E-3</v>
      </c>
    </row>
    <row r="27" spans="1:27" s="90" customFormat="1" x14ac:dyDescent="0.25">
      <c r="A27" s="130" t="s">
        <v>136</v>
      </c>
      <c r="B27" s="77">
        <v>7.7539999999999996</v>
      </c>
      <c r="C27" s="77">
        <f t="shared" si="2"/>
        <v>0.24231249999999999</v>
      </c>
      <c r="D27" s="77">
        <f>C27*0.07</f>
        <v>1.6961875000000001E-2</v>
      </c>
      <c r="E27" s="78">
        <f t="shared" si="0"/>
        <v>7.0000000000000007E-2</v>
      </c>
      <c r="F27" s="77">
        <f>(C27+D27)*0.08</f>
        <v>2.0741950000000002E-2</v>
      </c>
      <c r="G27" s="79" t="s">
        <v>83</v>
      </c>
      <c r="H27" s="76">
        <v>400009979</v>
      </c>
      <c r="I27" s="80">
        <v>32</v>
      </c>
      <c r="J27" s="81">
        <v>14.7</v>
      </c>
      <c r="K27" s="82"/>
      <c r="L27" s="83">
        <f t="shared" si="1"/>
        <v>0.24231249999999999</v>
      </c>
      <c r="M27" s="84" t="s">
        <v>78</v>
      </c>
      <c r="N27" s="79" t="s">
        <v>79</v>
      </c>
      <c r="O27" s="84" t="s">
        <v>78</v>
      </c>
      <c r="P27" s="79" t="s">
        <v>88</v>
      </c>
      <c r="Q27" s="85">
        <v>20000</v>
      </c>
      <c r="R27" s="86">
        <f t="shared" ref="R27:R34" si="5">MROUND((L27*Q27*1.01/1000), ((I27*C27)/1000))</f>
        <v>4.8927740000000002</v>
      </c>
      <c r="S27" s="84">
        <v>2</v>
      </c>
      <c r="T27" s="79" t="s">
        <v>85</v>
      </c>
      <c r="U27" s="76">
        <v>40000</v>
      </c>
      <c r="V27" s="86">
        <f t="shared" si="3"/>
        <v>9.7894249999999996</v>
      </c>
      <c r="W27" s="87" t="s">
        <v>81</v>
      </c>
      <c r="X27" s="87">
        <v>3</v>
      </c>
      <c r="Y27" s="87">
        <v>5</v>
      </c>
      <c r="Z27" s="88">
        <v>0.24</v>
      </c>
      <c r="AA27" s="89">
        <f t="shared" si="4"/>
        <v>-9.6354166666666463E-3</v>
      </c>
    </row>
    <row r="28" spans="1:27" s="90" customFormat="1" x14ac:dyDescent="0.25">
      <c r="A28" s="130" t="s">
        <v>137</v>
      </c>
      <c r="B28" s="77">
        <v>7.7359999999999998</v>
      </c>
      <c r="C28" s="77">
        <f t="shared" si="2"/>
        <v>0.24174999999999999</v>
      </c>
      <c r="D28" s="77">
        <f>C28*0.07</f>
        <v>1.69225E-2</v>
      </c>
      <c r="E28" s="78">
        <f t="shared" si="0"/>
        <v>7.0000000000000007E-2</v>
      </c>
      <c r="F28" s="77">
        <f>(C28+D28)*0.08</f>
        <v>2.0693799999999998E-2</v>
      </c>
      <c r="G28" s="79" t="s">
        <v>83</v>
      </c>
      <c r="H28" s="76">
        <v>400009979</v>
      </c>
      <c r="I28" s="80">
        <v>32</v>
      </c>
      <c r="J28" s="81">
        <v>14.7</v>
      </c>
      <c r="K28" s="82"/>
      <c r="L28" s="83">
        <f t="shared" si="1"/>
        <v>0.24174999999999999</v>
      </c>
      <c r="M28" s="84" t="s">
        <v>78</v>
      </c>
      <c r="N28" s="79" t="s">
        <v>79</v>
      </c>
      <c r="O28" s="84" t="s">
        <v>78</v>
      </c>
      <c r="P28" s="79" t="s">
        <v>88</v>
      </c>
      <c r="Q28" s="85">
        <v>20000</v>
      </c>
      <c r="R28" s="86">
        <f t="shared" si="5"/>
        <v>4.8814159999999998</v>
      </c>
      <c r="S28" s="84">
        <v>2</v>
      </c>
      <c r="T28" s="79" t="s">
        <v>85</v>
      </c>
      <c r="U28" s="76">
        <v>40000</v>
      </c>
      <c r="V28" s="86">
        <f t="shared" si="3"/>
        <v>9.7667000000000002</v>
      </c>
      <c r="W28" s="87" t="s">
        <v>81</v>
      </c>
      <c r="X28" s="87">
        <v>3</v>
      </c>
      <c r="Y28" s="87">
        <v>5</v>
      </c>
      <c r="Z28" s="88">
        <v>0.24</v>
      </c>
      <c r="AA28" s="89">
        <f t="shared" si="4"/>
        <v>-7.2916666666666737E-3</v>
      </c>
    </row>
    <row r="29" spans="1:27" s="90" customFormat="1" x14ac:dyDescent="0.25">
      <c r="A29" s="130" t="s">
        <v>138</v>
      </c>
      <c r="B29" s="77">
        <v>7.7149999999999999</v>
      </c>
      <c r="C29" s="77">
        <f t="shared" si="2"/>
        <v>0.24109375</v>
      </c>
      <c r="D29" s="77">
        <f>C29*0.07</f>
        <v>1.6876562500000001E-2</v>
      </c>
      <c r="E29" s="78">
        <f t="shared" si="0"/>
        <v>7.0000000000000007E-2</v>
      </c>
      <c r="F29" s="77">
        <f>(C29+D29)*0.08</f>
        <v>2.0637625000000003E-2</v>
      </c>
      <c r="G29" s="79" t="s">
        <v>83</v>
      </c>
      <c r="H29" s="76">
        <v>400009979</v>
      </c>
      <c r="I29" s="80">
        <v>32</v>
      </c>
      <c r="J29" s="81">
        <v>14.7</v>
      </c>
      <c r="K29" s="82"/>
      <c r="L29" s="83">
        <f t="shared" si="1"/>
        <v>0.24109375</v>
      </c>
      <c r="M29" s="84" t="s">
        <v>78</v>
      </c>
      <c r="N29" s="79" t="s">
        <v>79</v>
      </c>
      <c r="O29" s="84" t="s">
        <v>78</v>
      </c>
      <c r="P29" s="79" t="s">
        <v>88</v>
      </c>
      <c r="Q29" s="85">
        <v>20000</v>
      </c>
      <c r="R29" s="86">
        <f t="shared" si="5"/>
        <v>4.8681649999999994</v>
      </c>
      <c r="S29" s="84">
        <v>2</v>
      </c>
      <c r="T29" s="79" t="s">
        <v>85</v>
      </c>
      <c r="U29" s="76">
        <v>40000</v>
      </c>
      <c r="V29" s="86">
        <f t="shared" si="3"/>
        <v>9.7401874999999993</v>
      </c>
      <c r="W29" s="87" t="s">
        <v>81</v>
      </c>
      <c r="X29" s="87">
        <v>3</v>
      </c>
      <c r="Y29" s="87">
        <v>5</v>
      </c>
      <c r="Z29" s="88">
        <v>0.24</v>
      </c>
      <c r="AA29" s="89">
        <f t="shared" si="4"/>
        <v>-4.5572916666666852E-3</v>
      </c>
    </row>
    <row r="30" spans="1:27" s="90" customFormat="1" x14ac:dyDescent="0.25">
      <c r="A30" s="130" t="s">
        <v>139</v>
      </c>
      <c r="B30" s="77">
        <v>7.8079999999999998</v>
      </c>
      <c r="C30" s="77">
        <f t="shared" si="2"/>
        <v>0.24399999999999999</v>
      </c>
      <c r="D30" s="77">
        <f>C30*0.07</f>
        <v>1.7080000000000001E-2</v>
      </c>
      <c r="E30" s="78">
        <f t="shared" si="0"/>
        <v>7.0000000000000007E-2</v>
      </c>
      <c r="F30" s="77">
        <f>(C30+D30)*0.06</f>
        <v>1.56648E-2</v>
      </c>
      <c r="G30" s="79" t="s">
        <v>83</v>
      </c>
      <c r="H30" s="76">
        <v>400009979</v>
      </c>
      <c r="I30" s="80">
        <v>32</v>
      </c>
      <c r="J30" s="81">
        <v>14.7</v>
      </c>
      <c r="K30" s="82"/>
      <c r="L30" s="83">
        <f t="shared" si="1"/>
        <v>0.24399999999999999</v>
      </c>
      <c r="M30" s="84" t="s">
        <v>78</v>
      </c>
      <c r="N30" s="79" t="s">
        <v>79</v>
      </c>
      <c r="O30" s="84" t="s">
        <v>78</v>
      </c>
      <c r="P30" s="79" t="s">
        <v>88</v>
      </c>
      <c r="Q30" s="85">
        <v>20000</v>
      </c>
      <c r="R30" s="86">
        <f t="shared" si="5"/>
        <v>4.9268479999999997</v>
      </c>
      <c r="S30" s="84">
        <v>2</v>
      </c>
      <c r="T30" s="79" t="s">
        <v>85</v>
      </c>
      <c r="U30" s="76">
        <v>40000</v>
      </c>
      <c r="V30" s="86">
        <f t="shared" si="3"/>
        <v>9.8575999999999997</v>
      </c>
      <c r="W30" s="87" t="s">
        <v>81</v>
      </c>
      <c r="X30" s="87">
        <v>3</v>
      </c>
      <c r="Y30" s="87">
        <v>5</v>
      </c>
      <c r="Z30" s="88">
        <v>0.24</v>
      </c>
      <c r="AA30" s="89">
        <f t="shared" si="4"/>
        <v>-1.6666666666666684E-2</v>
      </c>
    </row>
    <row r="31" spans="1:27" s="90" customFormat="1" x14ac:dyDescent="0.25">
      <c r="A31" s="130" t="s">
        <v>140</v>
      </c>
      <c r="B31" s="77">
        <v>7.7830000000000004</v>
      </c>
      <c r="C31" s="77">
        <f t="shared" si="2"/>
        <v>0.24321875000000001</v>
      </c>
      <c r="D31" s="77">
        <f>C31*0.07</f>
        <v>1.7025312500000004E-2</v>
      </c>
      <c r="E31" s="78">
        <f t="shared" si="0"/>
        <v>7.0000000000000007E-2</v>
      </c>
      <c r="F31" s="77">
        <f>(C31+D31)*0.0595</f>
        <v>1.5484521718750002E-2</v>
      </c>
      <c r="G31" s="79" t="s">
        <v>83</v>
      </c>
      <c r="H31" s="76">
        <v>400009979</v>
      </c>
      <c r="I31" s="80">
        <v>32</v>
      </c>
      <c r="J31" s="81">
        <v>14.7</v>
      </c>
      <c r="K31" s="82"/>
      <c r="L31" s="83">
        <f t="shared" si="1"/>
        <v>0.24321875000000001</v>
      </c>
      <c r="M31" s="84" t="s">
        <v>78</v>
      </c>
      <c r="N31" s="79" t="s">
        <v>79</v>
      </c>
      <c r="O31" s="84" t="s">
        <v>78</v>
      </c>
      <c r="P31" s="79" t="s">
        <v>88</v>
      </c>
      <c r="Q31" s="85">
        <v>20000</v>
      </c>
      <c r="R31" s="86">
        <f t="shared" si="5"/>
        <v>4.911073</v>
      </c>
      <c r="S31" s="84">
        <v>2</v>
      </c>
      <c r="T31" s="79" t="s">
        <v>85</v>
      </c>
      <c r="U31" s="76">
        <v>40000</v>
      </c>
      <c r="V31" s="86">
        <f t="shared" si="3"/>
        <v>9.8260375</v>
      </c>
      <c r="W31" s="87" t="s">
        <v>81</v>
      </c>
      <c r="X31" s="87">
        <v>3</v>
      </c>
      <c r="Y31" s="87">
        <v>5</v>
      </c>
      <c r="Z31" s="88">
        <v>0.24</v>
      </c>
      <c r="AA31" s="89">
        <f t="shared" si="4"/>
        <v>-1.3411458333333418E-2</v>
      </c>
    </row>
    <row r="32" spans="1:27" s="90" customFormat="1" x14ac:dyDescent="0.25">
      <c r="A32" s="131" t="s">
        <v>39</v>
      </c>
      <c r="B32" s="77">
        <v>4.8639999999999999</v>
      </c>
      <c r="C32" s="77">
        <f t="shared" si="2"/>
        <v>0.30399999999999999</v>
      </c>
      <c r="D32" s="77">
        <f>C32*0.69</f>
        <v>0.20975999999999997</v>
      </c>
      <c r="E32" s="78">
        <f t="shared" si="0"/>
        <v>0.69</v>
      </c>
      <c r="F32" s="77"/>
      <c r="G32" s="79" t="s">
        <v>83</v>
      </c>
      <c r="H32" s="85">
        <v>400010033</v>
      </c>
      <c r="I32" s="80">
        <v>16</v>
      </c>
      <c r="J32" s="81">
        <v>11.4</v>
      </c>
      <c r="K32" s="82"/>
      <c r="L32" s="83">
        <f t="shared" si="1"/>
        <v>0.30399999999999999</v>
      </c>
      <c r="M32" s="84" t="s">
        <v>78</v>
      </c>
      <c r="N32" s="79" t="s">
        <v>79</v>
      </c>
      <c r="O32" s="84" t="s">
        <v>78</v>
      </c>
      <c r="P32" s="79" t="s">
        <v>88</v>
      </c>
      <c r="Q32" s="76">
        <v>10000</v>
      </c>
      <c r="R32" s="86">
        <f t="shared" si="5"/>
        <v>3.0691840000000004</v>
      </c>
      <c r="S32" s="79">
        <v>4</v>
      </c>
      <c r="T32" s="79" t="s">
        <v>89</v>
      </c>
      <c r="U32" s="76">
        <v>40000</v>
      </c>
      <c r="V32" s="86">
        <f t="shared" si="3"/>
        <v>12.281600000000001</v>
      </c>
      <c r="W32" s="87" t="s">
        <v>81</v>
      </c>
      <c r="X32" s="87">
        <v>3</v>
      </c>
      <c r="Y32" s="87">
        <v>5</v>
      </c>
      <c r="Z32" s="88">
        <v>0.30399999999999999</v>
      </c>
      <c r="AA32" s="89">
        <f t="shared" si="4"/>
        <v>0</v>
      </c>
    </row>
    <row r="33" spans="1:27" s="90" customFormat="1" x14ac:dyDescent="0.25">
      <c r="A33" s="131" t="s">
        <v>38</v>
      </c>
      <c r="B33" s="77">
        <v>2.585</v>
      </c>
      <c r="C33" s="77">
        <f t="shared" si="2"/>
        <v>0.10770833333333334</v>
      </c>
      <c r="D33" s="77">
        <f>C33*1.25</f>
        <v>0.13463541666666667</v>
      </c>
      <c r="E33" s="78">
        <f t="shared" si="0"/>
        <v>1.25</v>
      </c>
      <c r="F33" s="77"/>
      <c r="G33" s="79" t="s">
        <v>83</v>
      </c>
      <c r="H33" s="85">
        <v>400009934</v>
      </c>
      <c r="I33" s="80">
        <v>24</v>
      </c>
      <c r="J33" s="81">
        <v>11.4</v>
      </c>
      <c r="K33" s="82"/>
      <c r="L33" s="83">
        <f t="shared" si="1"/>
        <v>0.10770833333333334</v>
      </c>
      <c r="M33" s="84" t="s">
        <v>78</v>
      </c>
      <c r="N33" s="79" t="s">
        <v>79</v>
      </c>
      <c r="O33" s="84" t="s">
        <v>78</v>
      </c>
      <c r="P33" s="79" t="s">
        <v>88</v>
      </c>
      <c r="Q33" s="76">
        <v>20000</v>
      </c>
      <c r="R33" s="86">
        <f t="shared" si="5"/>
        <v>2.1765699999999999</v>
      </c>
      <c r="S33" s="79">
        <v>4</v>
      </c>
      <c r="T33" s="79" t="s">
        <v>89</v>
      </c>
      <c r="U33" s="76">
        <v>80000</v>
      </c>
      <c r="V33" s="86">
        <f t="shared" si="3"/>
        <v>8.7028333333333325</v>
      </c>
      <c r="W33" s="87" t="s">
        <v>81</v>
      </c>
      <c r="X33" s="87">
        <v>3</v>
      </c>
      <c r="Y33" s="87">
        <v>5</v>
      </c>
      <c r="Z33" s="88">
        <v>0.109</v>
      </c>
      <c r="AA33" s="89">
        <f t="shared" si="4"/>
        <v>1.1850152905198745E-2</v>
      </c>
    </row>
    <row r="34" spans="1:27" s="90" customFormat="1" x14ac:dyDescent="0.25">
      <c r="A34" s="131" t="s">
        <v>40</v>
      </c>
      <c r="B34" s="77">
        <v>5.008</v>
      </c>
      <c r="C34" s="77">
        <f t="shared" si="2"/>
        <v>0.313</v>
      </c>
      <c r="D34" s="77">
        <f>C34*0.68</f>
        <v>0.21284000000000003</v>
      </c>
      <c r="E34" s="78">
        <f t="shared" si="0"/>
        <v>0.68</v>
      </c>
      <c r="F34" s="77"/>
      <c r="G34" s="79" t="s">
        <v>83</v>
      </c>
      <c r="H34" s="85">
        <v>400010217</v>
      </c>
      <c r="I34" s="80">
        <v>16</v>
      </c>
      <c r="J34" s="81">
        <v>12.8</v>
      </c>
      <c r="K34" s="82"/>
      <c r="L34" s="83">
        <f t="shared" si="1"/>
        <v>0.313</v>
      </c>
      <c r="M34" s="84" t="s">
        <v>78</v>
      </c>
      <c r="N34" s="79" t="s">
        <v>79</v>
      </c>
      <c r="O34" s="84" t="s">
        <v>78</v>
      </c>
      <c r="P34" s="79" t="s">
        <v>88</v>
      </c>
      <c r="Q34" s="76">
        <v>10000</v>
      </c>
      <c r="R34" s="86">
        <f t="shared" si="5"/>
        <v>3.1600480000000002</v>
      </c>
      <c r="S34" s="79">
        <v>4</v>
      </c>
      <c r="T34" s="79" t="s">
        <v>89</v>
      </c>
      <c r="U34" s="76">
        <v>40000</v>
      </c>
      <c r="V34" s="86">
        <f t="shared" si="3"/>
        <v>12.645200000000001</v>
      </c>
      <c r="W34" s="87" t="s">
        <v>81</v>
      </c>
      <c r="X34" s="87">
        <v>3</v>
      </c>
      <c r="Y34" s="87">
        <v>5</v>
      </c>
      <c r="Z34" s="88">
        <v>0.316</v>
      </c>
      <c r="AA34" s="89">
        <f t="shared" si="4"/>
        <v>9.4936708860759583E-3</v>
      </c>
    </row>
    <row r="35" spans="1:27" s="90" customFormat="1" x14ac:dyDescent="0.25">
      <c r="A35" s="131" t="s">
        <v>179</v>
      </c>
      <c r="B35" s="77">
        <v>40.015999999999998</v>
      </c>
      <c r="C35" s="77">
        <f t="shared" si="2"/>
        <v>2.5009999999999999</v>
      </c>
      <c r="D35" s="77">
        <f>C35*0.05</f>
        <v>0.12504999999999999</v>
      </c>
      <c r="E35" s="78">
        <f t="shared" si="0"/>
        <v>0.05</v>
      </c>
      <c r="F35" s="77"/>
      <c r="G35" s="79" t="s">
        <v>83</v>
      </c>
      <c r="H35" s="85">
        <v>310580550</v>
      </c>
      <c r="I35" s="80">
        <v>16</v>
      </c>
      <c r="J35" s="81">
        <v>14.2</v>
      </c>
      <c r="K35" s="82"/>
      <c r="L35" s="83">
        <f t="shared" si="1"/>
        <v>2.5009999999999999</v>
      </c>
      <c r="M35" s="84" t="s">
        <v>78</v>
      </c>
      <c r="N35" s="79" t="s">
        <v>79</v>
      </c>
      <c r="O35" s="84" t="s">
        <v>78</v>
      </c>
      <c r="P35" s="84" t="s">
        <v>78</v>
      </c>
      <c r="Q35" s="85" t="s">
        <v>78</v>
      </c>
      <c r="R35" s="84" t="s">
        <v>78</v>
      </c>
      <c r="S35" s="84" t="s">
        <v>78</v>
      </c>
      <c r="T35" s="79" t="s">
        <v>85</v>
      </c>
      <c r="U35" s="76">
        <v>6000</v>
      </c>
      <c r="V35" s="86">
        <f t="shared" si="3"/>
        <v>15.15606</v>
      </c>
      <c r="W35" s="87" t="s">
        <v>81</v>
      </c>
      <c r="X35" s="87">
        <v>3</v>
      </c>
      <c r="Y35" s="87">
        <v>5</v>
      </c>
      <c r="Z35" s="88">
        <v>2.5009999999999999</v>
      </c>
      <c r="AA35" s="89">
        <f t="shared" si="4"/>
        <v>0</v>
      </c>
    </row>
    <row r="36" spans="1:27" s="90" customFormat="1" x14ac:dyDescent="0.25">
      <c r="A36" s="130" t="s">
        <v>160</v>
      </c>
      <c r="B36" s="77">
        <v>22.07</v>
      </c>
      <c r="C36" s="77">
        <f t="shared" si="2"/>
        <v>1.379375</v>
      </c>
      <c r="D36" s="77">
        <f>C36*0.03</f>
        <v>4.1381250000000001E-2</v>
      </c>
      <c r="E36" s="78">
        <f t="shared" si="0"/>
        <v>0.03</v>
      </c>
      <c r="F36" s="77"/>
      <c r="G36" s="79" t="s">
        <v>84</v>
      </c>
      <c r="H36" s="76">
        <v>340000190</v>
      </c>
      <c r="I36" s="80">
        <v>16</v>
      </c>
      <c r="J36" s="81">
        <v>16</v>
      </c>
      <c r="K36" s="82"/>
      <c r="L36" s="83">
        <f t="shared" si="1"/>
        <v>1.379375</v>
      </c>
      <c r="M36" s="84" t="s">
        <v>78</v>
      </c>
      <c r="N36" s="79" t="s">
        <v>79</v>
      </c>
      <c r="O36" s="84" t="s">
        <v>78</v>
      </c>
      <c r="P36" s="84" t="s">
        <v>78</v>
      </c>
      <c r="Q36" s="85" t="s">
        <v>78</v>
      </c>
      <c r="R36" s="84" t="s">
        <v>78</v>
      </c>
      <c r="S36" s="84" t="s">
        <v>78</v>
      </c>
      <c r="T36" s="79" t="s">
        <v>85</v>
      </c>
      <c r="U36" s="76">
        <v>10000</v>
      </c>
      <c r="V36" s="86">
        <f t="shared" si="3"/>
        <v>13.931687500000001</v>
      </c>
      <c r="W36" s="87" t="s">
        <v>81</v>
      </c>
      <c r="X36" s="87">
        <v>3</v>
      </c>
      <c r="Y36" s="87">
        <v>5</v>
      </c>
      <c r="Z36" s="88">
        <v>1.3779999999999999</v>
      </c>
      <c r="AA36" s="89">
        <f t="shared" si="4"/>
        <v>-9.9782293178528759E-4</v>
      </c>
    </row>
    <row r="37" spans="1:27" s="90" customFormat="1" x14ac:dyDescent="0.25">
      <c r="A37" s="130" t="s">
        <v>141</v>
      </c>
      <c r="B37" s="77">
        <v>82.424999999999997</v>
      </c>
      <c r="C37" s="77">
        <f t="shared" si="2"/>
        <v>10.303125</v>
      </c>
      <c r="D37" s="77">
        <f>C37*0.04</f>
        <v>0.41212500000000002</v>
      </c>
      <c r="E37" s="78">
        <f t="shared" si="0"/>
        <v>0.04</v>
      </c>
      <c r="F37" s="77"/>
      <c r="G37" s="79" t="s">
        <v>82</v>
      </c>
      <c r="H37" s="76">
        <v>400002636</v>
      </c>
      <c r="I37" s="80">
        <v>8</v>
      </c>
      <c r="J37" s="81">
        <v>20.2</v>
      </c>
      <c r="K37" s="82"/>
      <c r="L37" s="83">
        <f t="shared" si="1"/>
        <v>10.303125</v>
      </c>
      <c r="M37" s="84" t="s">
        <v>78</v>
      </c>
      <c r="N37" s="79" t="s">
        <v>79</v>
      </c>
      <c r="O37" s="84" t="s">
        <v>78</v>
      </c>
      <c r="P37" s="84" t="s">
        <v>78</v>
      </c>
      <c r="Q37" s="85" t="s">
        <v>78</v>
      </c>
      <c r="R37" s="84" t="s">
        <v>78</v>
      </c>
      <c r="S37" s="84" t="s">
        <v>78</v>
      </c>
      <c r="T37" s="79" t="s">
        <v>80</v>
      </c>
      <c r="U37" s="76">
        <v>350</v>
      </c>
      <c r="V37" s="86">
        <f t="shared" si="3"/>
        <v>3.6421546874999997</v>
      </c>
      <c r="W37" s="87" t="s">
        <v>81</v>
      </c>
      <c r="X37" s="87">
        <v>3</v>
      </c>
      <c r="Y37" s="87">
        <v>10</v>
      </c>
      <c r="Z37" s="88">
        <v>10.257</v>
      </c>
      <c r="AA37" s="89">
        <f t="shared" si="4"/>
        <v>-4.4969289265867187E-3</v>
      </c>
    </row>
    <row r="38" spans="1:27" s="90" customFormat="1" x14ac:dyDescent="0.25">
      <c r="A38" s="131" t="s">
        <v>41</v>
      </c>
      <c r="B38" s="77">
        <v>46.9</v>
      </c>
      <c r="C38" s="77">
        <f t="shared" si="2"/>
        <v>2.9312499999999999</v>
      </c>
      <c r="D38" s="77">
        <f t="shared" ref="D38:D66" si="6">C38*0.05</f>
        <v>0.14656250000000001</v>
      </c>
      <c r="E38" s="78">
        <f t="shared" si="0"/>
        <v>0.05</v>
      </c>
      <c r="F38" s="77"/>
      <c r="G38" s="79" t="s">
        <v>83</v>
      </c>
      <c r="H38" s="85">
        <v>205593601</v>
      </c>
      <c r="I38" s="80">
        <v>16</v>
      </c>
      <c r="J38" s="81">
        <v>18.8</v>
      </c>
      <c r="K38" s="82"/>
      <c r="L38" s="83">
        <f t="shared" si="1"/>
        <v>2.9312499999999999</v>
      </c>
      <c r="M38" s="84" t="s">
        <v>78</v>
      </c>
      <c r="N38" s="79" t="s">
        <v>79</v>
      </c>
      <c r="O38" s="84" t="s">
        <v>78</v>
      </c>
      <c r="P38" s="84" t="s">
        <v>78</v>
      </c>
      <c r="Q38" s="85" t="s">
        <v>78</v>
      </c>
      <c r="R38" s="84" t="s">
        <v>78</v>
      </c>
      <c r="S38" s="84" t="s">
        <v>78</v>
      </c>
      <c r="T38" s="79" t="s">
        <v>80</v>
      </c>
      <c r="U38" s="76">
        <v>2500</v>
      </c>
      <c r="V38" s="86">
        <f t="shared" si="3"/>
        <v>7.40140625</v>
      </c>
      <c r="W38" s="87" t="s">
        <v>81</v>
      </c>
      <c r="X38" s="87">
        <v>3</v>
      </c>
      <c r="Y38" s="87">
        <v>10</v>
      </c>
      <c r="Z38" s="88">
        <v>3.0670000000000002</v>
      </c>
      <c r="AA38" s="89">
        <f t="shared" si="4"/>
        <v>4.4261493315943999E-2</v>
      </c>
    </row>
    <row r="39" spans="1:27" s="90" customFormat="1" x14ac:dyDescent="0.25">
      <c r="A39" s="130" t="s">
        <v>172</v>
      </c>
      <c r="B39" s="77">
        <v>16.234000000000002</v>
      </c>
      <c r="C39" s="77">
        <f t="shared" si="2"/>
        <v>16.234000000000002</v>
      </c>
      <c r="D39" s="77">
        <f t="shared" si="6"/>
        <v>0.81170000000000009</v>
      </c>
      <c r="E39" s="78">
        <f t="shared" si="0"/>
        <v>0.05</v>
      </c>
      <c r="F39" s="77"/>
      <c r="G39" s="79" t="s">
        <v>83</v>
      </c>
      <c r="H39" s="76">
        <v>400004339</v>
      </c>
      <c r="I39" s="80">
        <v>1</v>
      </c>
      <c r="J39" s="81">
        <v>16.100000000000001</v>
      </c>
      <c r="K39" s="82"/>
      <c r="L39" s="83">
        <f t="shared" si="1"/>
        <v>16.234000000000002</v>
      </c>
      <c r="M39" s="84" t="s">
        <v>78</v>
      </c>
      <c r="N39" s="79" t="s">
        <v>79</v>
      </c>
      <c r="O39" s="84" t="s">
        <v>78</v>
      </c>
      <c r="P39" s="84" t="s">
        <v>78</v>
      </c>
      <c r="Q39" s="85" t="s">
        <v>78</v>
      </c>
      <c r="R39" s="84" t="s">
        <v>78</v>
      </c>
      <c r="S39" s="84" t="s">
        <v>78</v>
      </c>
      <c r="T39" s="79" t="s">
        <v>80</v>
      </c>
      <c r="U39" s="76">
        <v>200</v>
      </c>
      <c r="V39" s="86">
        <f t="shared" si="3"/>
        <v>3.2792680000000001</v>
      </c>
      <c r="W39" s="87" t="s">
        <v>81</v>
      </c>
      <c r="X39" s="87">
        <v>3</v>
      </c>
      <c r="Y39" s="87">
        <v>10</v>
      </c>
      <c r="Z39" s="88">
        <v>16.234000000000002</v>
      </c>
      <c r="AA39" s="89">
        <f t="shared" si="4"/>
        <v>0</v>
      </c>
    </row>
    <row r="40" spans="1:27" s="90" customFormat="1" x14ac:dyDescent="0.25">
      <c r="A40" s="130" t="s">
        <v>142</v>
      </c>
      <c r="B40" s="77">
        <v>1.8069999999999999</v>
      </c>
      <c r="C40" s="77">
        <f t="shared" si="2"/>
        <v>0.22587499999999999</v>
      </c>
      <c r="D40" s="77">
        <f t="shared" si="6"/>
        <v>1.129375E-2</v>
      </c>
      <c r="E40" s="78">
        <f t="shared" si="0"/>
        <v>0.05</v>
      </c>
      <c r="F40" s="77">
        <f>(C40+D40)*0.01</f>
        <v>2.3716875000000001E-3</v>
      </c>
      <c r="G40" s="79" t="s">
        <v>86</v>
      </c>
      <c r="H40" s="76">
        <v>400011787</v>
      </c>
      <c r="I40" s="80">
        <v>8</v>
      </c>
      <c r="J40" s="81">
        <v>18.399999999999999</v>
      </c>
      <c r="K40" s="82"/>
      <c r="L40" s="83">
        <f t="shared" si="1"/>
        <v>0.22587499999999999</v>
      </c>
      <c r="M40" s="84" t="s">
        <v>78</v>
      </c>
      <c r="N40" s="79" t="s">
        <v>79</v>
      </c>
      <c r="O40" s="84">
        <v>300</v>
      </c>
      <c r="P40" s="79" t="s">
        <v>88</v>
      </c>
      <c r="Q40" s="85">
        <v>20000</v>
      </c>
      <c r="R40" s="86">
        <f t="shared" ref="R40" si="7">MROUND((L40*Q40*1.01/1000), ((I40*C40)/1000))</f>
        <v>4.5626749999999996</v>
      </c>
      <c r="S40" s="84">
        <v>2</v>
      </c>
      <c r="T40" s="79" t="s">
        <v>80</v>
      </c>
      <c r="U40" s="76">
        <v>40000</v>
      </c>
      <c r="V40" s="86">
        <f t="shared" si="3"/>
        <v>9.125350000000001</v>
      </c>
      <c r="W40" s="87" t="s">
        <v>81</v>
      </c>
      <c r="X40" s="87">
        <v>3</v>
      </c>
      <c r="Y40" s="87">
        <v>10</v>
      </c>
      <c r="Z40" s="88">
        <v>0.23200000000000001</v>
      </c>
      <c r="AA40" s="89">
        <f t="shared" si="4"/>
        <v>2.6400862068965598E-2</v>
      </c>
    </row>
    <row r="41" spans="1:27" s="90" customFormat="1" x14ac:dyDescent="0.25">
      <c r="A41" s="130" t="s">
        <v>163</v>
      </c>
      <c r="B41" s="77">
        <v>24.288</v>
      </c>
      <c r="C41" s="77">
        <f t="shared" si="2"/>
        <v>1.518</v>
      </c>
      <c r="D41" s="77">
        <f t="shared" si="6"/>
        <v>7.5900000000000009E-2</v>
      </c>
      <c r="E41" s="78">
        <f t="shared" si="0"/>
        <v>0.05</v>
      </c>
      <c r="F41" s="77"/>
      <c r="G41" s="79" t="s">
        <v>82</v>
      </c>
      <c r="H41" s="76">
        <v>340000426</v>
      </c>
      <c r="I41" s="80">
        <v>16</v>
      </c>
      <c r="J41" s="81">
        <v>15.5</v>
      </c>
      <c r="K41" s="82"/>
      <c r="L41" s="83">
        <f t="shared" si="1"/>
        <v>1.518</v>
      </c>
      <c r="M41" s="84" t="s">
        <v>78</v>
      </c>
      <c r="N41" s="79" t="s">
        <v>79</v>
      </c>
      <c r="O41" s="84" t="s">
        <v>78</v>
      </c>
      <c r="P41" s="84" t="s">
        <v>78</v>
      </c>
      <c r="Q41" s="85" t="s">
        <v>78</v>
      </c>
      <c r="R41" s="84" t="s">
        <v>78</v>
      </c>
      <c r="S41" s="84" t="s">
        <v>78</v>
      </c>
      <c r="T41" s="79" t="s">
        <v>85</v>
      </c>
      <c r="U41" s="76">
        <v>2000</v>
      </c>
      <c r="V41" s="86">
        <f t="shared" si="3"/>
        <v>3.06636</v>
      </c>
      <c r="W41" s="87" t="s">
        <v>81</v>
      </c>
      <c r="X41" s="87">
        <v>3</v>
      </c>
      <c r="Y41" s="87">
        <v>5</v>
      </c>
      <c r="Z41" s="88">
        <v>1.518</v>
      </c>
      <c r="AA41" s="89">
        <f t="shared" si="4"/>
        <v>0</v>
      </c>
    </row>
    <row r="42" spans="1:27" s="90" customFormat="1" x14ac:dyDescent="0.25">
      <c r="A42" s="130" t="s">
        <v>151</v>
      </c>
      <c r="B42" s="77">
        <v>4.54</v>
      </c>
      <c r="C42" s="77">
        <f t="shared" si="2"/>
        <v>0.28375</v>
      </c>
      <c r="D42" s="77">
        <f t="shared" si="6"/>
        <v>1.41875E-2</v>
      </c>
      <c r="E42" s="78">
        <f t="shared" si="0"/>
        <v>0.05</v>
      </c>
      <c r="F42" s="77"/>
      <c r="G42" s="79" t="s">
        <v>86</v>
      </c>
      <c r="H42" s="76">
        <v>400012786</v>
      </c>
      <c r="I42" s="80">
        <v>16</v>
      </c>
      <c r="J42" s="81">
        <v>14.8</v>
      </c>
      <c r="K42" s="82"/>
      <c r="L42" s="83">
        <f t="shared" si="1"/>
        <v>0.28375</v>
      </c>
      <c r="M42" s="84" t="s">
        <v>78</v>
      </c>
      <c r="N42" s="79" t="s">
        <v>79</v>
      </c>
      <c r="O42" s="84" t="s">
        <v>78</v>
      </c>
      <c r="P42" s="84" t="s">
        <v>78</v>
      </c>
      <c r="Q42" s="85" t="s">
        <v>78</v>
      </c>
      <c r="R42" s="84" t="s">
        <v>78</v>
      </c>
      <c r="S42" s="84" t="s">
        <v>78</v>
      </c>
      <c r="T42" s="79" t="s">
        <v>80</v>
      </c>
      <c r="U42" s="76">
        <v>20000</v>
      </c>
      <c r="V42" s="86">
        <f t="shared" si="3"/>
        <v>5.7317499999999999</v>
      </c>
      <c r="W42" s="87" t="s">
        <v>81</v>
      </c>
      <c r="X42" s="87">
        <v>3</v>
      </c>
      <c r="Y42" s="87">
        <v>10</v>
      </c>
      <c r="Z42" s="88">
        <v>0.27900000000000003</v>
      </c>
      <c r="AA42" s="89">
        <f t="shared" si="4"/>
        <v>-1.7025089605734681E-2</v>
      </c>
    </row>
    <row r="43" spans="1:27" s="90" customFormat="1" x14ac:dyDescent="0.25">
      <c r="A43" s="130" t="s">
        <v>143</v>
      </c>
      <c r="B43" s="77">
        <v>49.244</v>
      </c>
      <c r="C43" s="77">
        <f t="shared" si="2"/>
        <v>12.311</v>
      </c>
      <c r="D43" s="77">
        <f t="shared" si="6"/>
        <v>0.61555000000000004</v>
      </c>
      <c r="E43" s="78">
        <f t="shared" si="0"/>
        <v>0.05</v>
      </c>
      <c r="F43" s="77"/>
      <c r="G43" s="79" t="s">
        <v>84</v>
      </c>
      <c r="H43" s="76">
        <v>400012464</v>
      </c>
      <c r="I43" s="80">
        <v>4</v>
      </c>
      <c r="J43" s="81">
        <v>23</v>
      </c>
      <c r="K43" s="82"/>
      <c r="L43" s="83">
        <f t="shared" si="1"/>
        <v>12.311</v>
      </c>
      <c r="M43" s="84" t="s">
        <v>78</v>
      </c>
      <c r="N43" s="79" t="s">
        <v>79</v>
      </c>
      <c r="O43" s="84" t="s">
        <v>78</v>
      </c>
      <c r="P43" s="84" t="s">
        <v>78</v>
      </c>
      <c r="Q43" s="85" t="s">
        <v>78</v>
      </c>
      <c r="R43" s="84" t="s">
        <v>78</v>
      </c>
      <c r="S43" s="84" t="s">
        <v>78</v>
      </c>
      <c r="T43" s="79" t="s">
        <v>85</v>
      </c>
      <c r="U43" s="76">
        <v>500</v>
      </c>
      <c r="V43" s="86">
        <f t="shared" si="3"/>
        <v>6.2170550000000002</v>
      </c>
      <c r="W43" s="87" t="s">
        <v>81</v>
      </c>
      <c r="X43" s="87">
        <v>3</v>
      </c>
      <c r="Y43" s="87">
        <v>5</v>
      </c>
      <c r="Z43" s="88">
        <v>12.348000000000001</v>
      </c>
      <c r="AA43" s="89">
        <f t="shared" si="4"/>
        <v>2.9964366699061231E-3</v>
      </c>
    </row>
    <row r="44" spans="1:27" s="90" customFormat="1" x14ac:dyDescent="0.25">
      <c r="A44" s="131" t="s">
        <v>42</v>
      </c>
      <c r="B44" s="77">
        <v>7.5289999999999999</v>
      </c>
      <c r="C44" s="77">
        <f t="shared" si="2"/>
        <v>0.94112499999999999</v>
      </c>
      <c r="D44" s="77">
        <f t="shared" si="6"/>
        <v>4.7056250000000001E-2</v>
      </c>
      <c r="E44" s="78">
        <f t="shared" si="0"/>
        <v>0.05</v>
      </c>
      <c r="F44" s="77"/>
      <c r="G44" s="79" t="s">
        <v>83</v>
      </c>
      <c r="H44" s="76">
        <v>400013164</v>
      </c>
      <c r="I44" s="80">
        <v>8</v>
      </c>
      <c r="J44" s="81">
        <v>14.1</v>
      </c>
      <c r="K44" s="82"/>
      <c r="L44" s="83">
        <f t="shared" si="1"/>
        <v>0.94112499999999999</v>
      </c>
      <c r="M44" s="84" t="s">
        <v>78</v>
      </c>
      <c r="N44" s="79" t="s">
        <v>79</v>
      </c>
      <c r="O44" s="84" t="s">
        <v>78</v>
      </c>
      <c r="P44" s="84" t="s">
        <v>78</v>
      </c>
      <c r="Q44" s="85" t="s">
        <v>78</v>
      </c>
      <c r="R44" s="84" t="s">
        <v>78</v>
      </c>
      <c r="S44" s="84" t="s">
        <v>78</v>
      </c>
      <c r="T44" s="79" t="s">
        <v>80</v>
      </c>
      <c r="U44" s="76">
        <v>10000</v>
      </c>
      <c r="V44" s="86">
        <f t="shared" si="3"/>
        <v>9.5053624999999986</v>
      </c>
      <c r="W44" s="87" t="s">
        <v>81</v>
      </c>
      <c r="X44" s="87">
        <v>3</v>
      </c>
      <c r="Y44" s="87">
        <v>10</v>
      </c>
      <c r="Z44" s="88">
        <v>0.92900000000000005</v>
      </c>
      <c r="AA44" s="89">
        <f t="shared" si="4"/>
        <v>-1.3051668460710377E-2</v>
      </c>
    </row>
    <row r="45" spans="1:27" s="95" customFormat="1" x14ac:dyDescent="0.25">
      <c r="A45" s="130" t="s">
        <v>173</v>
      </c>
      <c r="B45" s="77">
        <v>75.817999999999998</v>
      </c>
      <c r="C45" s="77">
        <f t="shared" si="2"/>
        <v>75.817999999999998</v>
      </c>
      <c r="D45" s="77">
        <f t="shared" si="6"/>
        <v>3.7909000000000002</v>
      </c>
      <c r="E45" s="78">
        <f t="shared" si="0"/>
        <v>0.05</v>
      </c>
      <c r="F45" s="77"/>
      <c r="G45" s="79" t="s">
        <v>77</v>
      </c>
      <c r="H45" s="76">
        <v>400012580</v>
      </c>
      <c r="I45" s="80">
        <v>1</v>
      </c>
      <c r="J45" s="81">
        <v>28.5</v>
      </c>
      <c r="K45" s="82"/>
      <c r="L45" s="83">
        <f t="shared" si="1"/>
        <v>75.817999999999998</v>
      </c>
      <c r="M45" s="84" t="s">
        <v>78</v>
      </c>
      <c r="N45" s="79" t="s">
        <v>79</v>
      </c>
      <c r="O45" s="84" t="s">
        <v>78</v>
      </c>
      <c r="P45" s="84" t="s">
        <v>78</v>
      </c>
      <c r="Q45" s="85" t="s">
        <v>78</v>
      </c>
      <c r="R45" s="84" t="s">
        <v>78</v>
      </c>
      <c r="S45" s="84" t="s">
        <v>78</v>
      </c>
      <c r="T45" s="79" t="s">
        <v>85</v>
      </c>
      <c r="U45" s="76">
        <v>50</v>
      </c>
      <c r="V45" s="86">
        <f t="shared" si="3"/>
        <v>3.8288090000000001</v>
      </c>
      <c r="W45" s="87" t="s">
        <v>81</v>
      </c>
      <c r="X45" s="87">
        <v>3</v>
      </c>
      <c r="Y45" s="87">
        <v>5</v>
      </c>
      <c r="Z45" s="88"/>
      <c r="AA45" s="89" t="e">
        <f t="shared" si="4"/>
        <v>#DIV/0!</v>
      </c>
    </row>
    <row r="46" spans="1:27" s="95" customFormat="1" x14ac:dyDescent="0.25">
      <c r="A46" s="130" t="s">
        <v>174</v>
      </c>
      <c r="B46" s="77">
        <v>75.59</v>
      </c>
      <c r="C46" s="77">
        <f t="shared" si="2"/>
        <v>75.59</v>
      </c>
      <c r="D46" s="77">
        <f t="shared" si="6"/>
        <v>3.7795000000000005</v>
      </c>
      <c r="E46" s="78">
        <f t="shared" si="0"/>
        <v>0.05</v>
      </c>
      <c r="F46" s="77"/>
      <c r="G46" s="79" t="s">
        <v>77</v>
      </c>
      <c r="H46" s="76">
        <v>400012580</v>
      </c>
      <c r="I46" s="80">
        <v>1</v>
      </c>
      <c r="J46" s="81">
        <v>28.5</v>
      </c>
      <c r="K46" s="82"/>
      <c r="L46" s="83">
        <f t="shared" si="1"/>
        <v>75.59</v>
      </c>
      <c r="M46" s="84" t="s">
        <v>78</v>
      </c>
      <c r="N46" s="79" t="s">
        <v>79</v>
      </c>
      <c r="O46" s="84" t="s">
        <v>78</v>
      </c>
      <c r="P46" s="84" t="s">
        <v>78</v>
      </c>
      <c r="Q46" s="85" t="s">
        <v>78</v>
      </c>
      <c r="R46" s="84" t="s">
        <v>78</v>
      </c>
      <c r="S46" s="84" t="s">
        <v>78</v>
      </c>
      <c r="T46" s="79" t="s">
        <v>85</v>
      </c>
      <c r="U46" s="76">
        <v>50</v>
      </c>
      <c r="V46" s="86">
        <f t="shared" si="3"/>
        <v>3.8172950000000001</v>
      </c>
      <c r="W46" s="87" t="s">
        <v>81</v>
      </c>
      <c r="X46" s="87">
        <v>3</v>
      </c>
      <c r="Y46" s="87">
        <v>5</v>
      </c>
      <c r="Z46" s="88"/>
      <c r="AA46" s="89" t="e">
        <f t="shared" si="4"/>
        <v>#DIV/0!</v>
      </c>
    </row>
    <row r="47" spans="1:27" s="95" customFormat="1" x14ac:dyDescent="0.25">
      <c r="A47" s="130" t="s">
        <v>175</v>
      </c>
      <c r="B47" s="77">
        <v>58.25</v>
      </c>
      <c r="C47" s="77">
        <f t="shared" si="2"/>
        <v>58.25</v>
      </c>
      <c r="D47" s="77">
        <f t="shared" si="6"/>
        <v>2.9125000000000001</v>
      </c>
      <c r="E47" s="78">
        <f t="shared" si="0"/>
        <v>0.05</v>
      </c>
      <c r="F47" s="77"/>
      <c r="G47" s="79" t="s">
        <v>77</v>
      </c>
      <c r="H47" s="76">
        <v>400012581</v>
      </c>
      <c r="I47" s="80">
        <v>1</v>
      </c>
      <c r="J47" s="81">
        <v>27.2</v>
      </c>
      <c r="K47" s="82"/>
      <c r="L47" s="83">
        <f t="shared" si="1"/>
        <v>58.25</v>
      </c>
      <c r="M47" s="84" t="s">
        <v>78</v>
      </c>
      <c r="N47" s="79" t="s">
        <v>79</v>
      </c>
      <c r="O47" s="84" t="s">
        <v>78</v>
      </c>
      <c r="P47" s="84" t="s">
        <v>78</v>
      </c>
      <c r="Q47" s="85" t="s">
        <v>78</v>
      </c>
      <c r="R47" s="84" t="s">
        <v>78</v>
      </c>
      <c r="S47" s="84" t="s">
        <v>78</v>
      </c>
      <c r="T47" s="79" t="s">
        <v>85</v>
      </c>
      <c r="U47" s="76">
        <v>70</v>
      </c>
      <c r="V47" s="86">
        <f t="shared" si="3"/>
        <v>4.1182749999999997</v>
      </c>
      <c r="W47" s="87" t="s">
        <v>81</v>
      </c>
      <c r="X47" s="87">
        <v>3</v>
      </c>
      <c r="Y47" s="87">
        <v>5</v>
      </c>
      <c r="Z47" s="88"/>
      <c r="AA47" s="89" t="e">
        <f t="shared" si="4"/>
        <v>#DIV/0!</v>
      </c>
    </row>
    <row r="48" spans="1:27" s="95" customFormat="1" x14ac:dyDescent="0.25">
      <c r="A48" s="130" t="s">
        <v>176</v>
      </c>
      <c r="B48" s="77">
        <v>57.98</v>
      </c>
      <c r="C48" s="77">
        <f t="shared" si="2"/>
        <v>57.98</v>
      </c>
      <c r="D48" s="77">
        <f t="shared" si="6"/>
        <v>2.899</v>
      </c>
      <c r="E48" s="78">
        <f t="shared" si="0"/>
        <v>0.05</v>
      </c>
      <c r="F48" s="77"/>
      <c r="G48" s="79" t="s">
        <v>77</v>
      </c>
      <c r="H48" s="76">
        <v>400012581</v>
      </c>
      <c r="I48" s="80">
        <v>1</v>
      </c>
      <c r="J48" s="81">
        <v>27.2</v>
      </c>
      <c r="K48" s="82"/>
      <c r="L48" s="83">
        <f t="shared" si="1"/>
        <v>57.98</v>
      </c>
      <c r="M48" s="84" t="s">
        <v>78</v>
      </c>
      <c r="N48" s="79" t="s">
        <v>79</v>
      </c>
      <c r="O48" s="84" t="s">
        <v>78</v>
      </c>
      <c r="P48" s="84" t="s">
        <v>78</v>
      </c>
      <c r="Q48" s="85" t="s">
        <v>78</v>
      </c>
      <c r="R48" s="84" t="s">
        <v>78</v>
      </c>
      <c r="S48" s="84" t="s">
        <v>78</v>
      </c>
      <c r="T48" s="79" t="s">
        <v>85</v>
      </c>
      <c r="U48" s="76">
        <v>70</v>
      </c>
      <c r="V48" s="86">
        <f t="shared" si="3"/>
        <v>4.0991859999999996</v>
      </c>
      <c r="W48" s="87" t="s">
        <v>81</v>
      </c>
      <c r="X48" s="87">
        <v>3</v>
      </c>
      <c r="Y48" s="87">
        <v>5</v>
      </c>
      <c r="Z48" s="88"/>
      <c r="AA48" s="89" t="e">
        <f t="shared" si="4"/>
        <v>#DIV/0!</v>
      </c>
    </row>
    <row r="49" spans="1:27" s="95" customFormat="1" x14ac:dyDescent="0.25">
      <c r="A49" s="130" t="s">
        <v>153</v>
      </c>
      <c r="B49" s="77">
        <v>12.12</v>
      </c>
      <c r="C49" s="77">
        <f t="shared" si="2"/>
        <v>1.5149999999999999</v>
      </c>
      <c r="D49" s="77">
        <f t="shared" si="6"/>
        <v>7.5749999999999998E-2</v>
      </c>
      <c r="E49" s="78">
        <f t="shared" si="0"/>
        <v>0.05</v>
      </c>
      <c r="F49" s="77"/>
      <c r="G49" s="79" t="s">
        <v>83</v>
      </c>
      <c r="H49" s="76">
        <v>400013790</v>
      </c>
      <c r="I49" s="80">
        <v>8</v>
      </c>
      <c r="J49" s="81">
        <v>15.2</v>
      </c>
      <c r="K49" s="82"/>
      <c r="L49" s="83">
        <f t="shared" si="1"/>
        <v>1.5149999999999999</v>
      </c>
      <c r="M49" s="84" t="s">
        <v>78</v>
      </c>
      <c r="N49" s="79" t="s">
        <v>79</v>
      </c>
      <c r="O49" s="84" t="s">
        <v>78</v>
      </c>
      <c r="P49" s="84" t="s">
        <v>78</v>
      </c>
      <c r="Q49" s="85" t="s">
        <v>78</v>
      </c>
      <c r="R49" s="84" t="s">
        <v>78</v>
      </c>
      <c r="S49" s="84" t="s">
        <v>78</v>
      </c>
      <c r="T49" s="79" t="s">
        <v>80</v>
      </c>
      <c r="U49" s="76">
        <v>5000</v>
      </c>
      <c r="V49" s="86">
        <f t="shared" si="3"/>
        <v>7.6507499999999995</v>
      </c>
      <c r="W49" s="87" t="s">
        <v>81</v>
      </c>
      <c r="X49" s="87">
        <v>3</v>
      </c>
      <c r="Y49" s="87">
        <v>5</v>
      </c>
      <c r="Z49" s="88">
        <v>1.5149999999999999</v>
      </c>
      <c r="AA49" s="89">
        <f t="shared" si="4"/>
        <v>0</v>
      </c>
    </row>
    <row r="50" spans="1:27" s="95" customFormat="1" x14ac:dyDescent="0.25">
      <c r="A50" s="130" t="s">
        <v>145</v>
      </c>
      <c r="B50" s="77">
        <v>76.12</v>
      </c>
      <c r="C50" s="77">
        <f t="shared" si="2"/>
        <v>76.12</v>
      </c>
      <c r="D50" s="77">
        <f t="shared" si="6"/>
        <v>3.8060000000000005</v>
      </c>
      <c r="E50" s="78">
        <f t="shared" si="0"/>
        <v>0.05</v>
      </c>
      <c r="F50" s="77"/>
      <c r="G50" s="79" t="s">
        <v>77</v>
      </c>
      <c r="H50" s="76">
        <v>400013841</v>
      </c>
      <c r="I50" s="80">
        <v>1</v>
      </c>
      <c r="J50" s="81">
        <v>30.6</v>
      </c>
      <c r="K50" s="82"/>
      <c r="L50" s="83">
        <f t="shared" si="1"/>
        <v>76.12</v>
      </c>
      <c r="M50" s="84" t="s">
        <v>78</v>
      </c>
      <c r="N50" s="79" t="s">
        <v>79</v>
      </c>
      <c r="O50" s="84" t="s">
        <v>78</v>
      </c>
      <c r="P50" s="84" t="s">
        <v>78</v>
      </c>
      <c r="Q50" s="85" t="s">
        <v>78</v>
      </c>
      <c r="R50" s="84" t="s">
        <v>78</v>
      </c>
      <c r="S50" s="84" t="s">
        <v>78</v>
      </c>
      <c r="T50" s="79" t="s">
        <v>85</v>
      </c>
      <c r="U50" s="76">
        <v>40</v>
      </c>
      <c r="V50" s="86">
        <f t="shared" si="3"/>
        <v>3.0752480000000002</v>
      </c>
      <c r="W50" s="87" t="s">
        <v>81</v>
      </c>
      <c r="X50" s="87">
        <v>3</v>
      </c>
      <c r="Y50" s="87">
        <v>5</v>
      </c>
      <c r="Z50" s="88"/>
      <c r="AA50" s="89" t="e">
        <f t="shared" si="4"/>
        <v>#DIV/0!</v>
      </c>
    </row>
    <row r="51" spans="1:27" s="95" customFormat="1" x14ac:dyDescent="0.25">
      <c r="A51" s="130" t="s">
        <v>147</v>
      </c>
      <c r="B51" s="77">
        <v>19.91</v>
      </c>
      <c r="C51" s="77">
        <f t="shared" si="2"/>
        <v>19.91</v>
      </c>
      <c r="D51" s="77">
        <f t="shared" si="6"/>
        <v>0.99550000000000005</v>
      </c>
      <c r="E51" s="78">
        <f t="shared" si="0"/>
        <v>0.05</v>
      </c>
      <c r="F51" s="77"/>
      <c r="G51" s="79" t="s">
        <v>83</v>
      </c>
      <c r="H51" s="76">
        <v>400013843</v>
      </c>
      <c r="I51" s="80">
        <v>1</v>
      </c>
      <c r="J51" s="81">
        <v>18.899999999999999</v>
      </c>
      <c r="K51" s="82"/>
      <c r="L51" s="83">
        <f t="shared" si="1"/>
        <v>19.91</v>
      </c>
      <c r="M51" s="84" t="s">
        <v>78</v>
      </c>
      <c r="N51" s="79" t="s">
        <v>79</v>
      </c>
      <c r="O51" s="84" t="s">
        <v>78</v>
      </c>
      <c r="P51" s="84" t="s">
        <v>78</v>
      </c>
      <c r="Q51" s="85" t="s">
        <v>78</v>
      </c>
      <c r="R51" s="84" t="s">
        <v>78</v>
      </c>
      <c r="S51" s="84" t="s">
        <v>78</v>
      </c>
      <c r="T51" s="79" t="s">
        <v>85</v>
      </c>
      <c r="U51" s="76">
        <v>270</v>
      </c>
      <c r="V51" s="86">
        <f t="shared" si="3"/>
        <v>5.4294569999999993</v>
      </c>
      <c r="W51" s="87" t="s">
        <v>81</v>
      </c>
      <c r="X51" s="87">
        <v>3</v>
      </c>
      <c r="Y51" s="87">
        <v>5</v>
      </c>
      <c r="Z51" s="88"/>
      <c r="AA51" s="89" t="e">
        <f t="shared" si="4"/>
        <v>#DIV/0!</v>
      </c>
    </row>
    <row r="52" spans="1:27" s="95" customFormat="1" x14ac:dyDescent="0.25">
      <c r="A52" s="130" t="s">
        <v>144</v>
      </c>
      <c r="B52" s="77">
        <v>39.034999999999997</v>
      </c>
      <c r="C52" s="77">
        <f t="shared" si="2"/>
        <v>39.034999999999997</v>
      </c>
      <c r="D52" s="77">
        <f t="shared" si="6"/>
        <v>1.9517499999999999</v>
      </c>
      <c r="E52" s="78">
        <f t="shared" si="0"/>
        <v>0.05</v>
      </c>
      <c r="F52" s="77"/>
      <c r="G52" s="79" t="s">
        <v>84</v>
      </c>
      <c r="H52" s="76">
        <v>400013840</v>
      </c>
      <c r="I52" s="80">
        <v>1</v>
      </c>
      <c r="J52" s="81">
        <v>31.6</v>
      </c>
      <c r="K52" s="82"/>
      <c r="L52" s="83">
        <f t="shared" si="1"/>
        <v>39.034999999999997</v>
      </c>
      <c r="M52" s="84" t="s">
        <v>78</v>
      </c>
      <c r="N52" s="79" t="s">
        <v>79</v>
      </c>
      <c r="O52" s="84" t="s">
        <v>78</v>
      </c>
      <c r="P52" s="84" t="s">
        <v>78</v>
      </c>
      <c r="Q52" s="85" t="s">
        <v>78</v>
      </c>
      <c r="R52" s="84" t="s">
        <v>78</v>
      </c>
      <c r="S52" s="84" t="s">
        <v>78</v>
      </c>
      <c r="T52" s="79" t="s">
        <v>85</v>
      </c>
      <c r="U52" s="76">
        <v>100</v>
      </c>
      <c r="V52" s="86">
        <f t="shared" si="3"/>
        <v>3.9425349999999995</v>
      </c>
      <c r="W52" s="87" t="s">
        <v>81</v>
      </c>
      <c r="X52" s="87">
        <v>3</v>
      </c>
      <c r="Y52" s="87">
        <v>5</v>
      </c>
      <c r="Z52" s="88"/>
      <c r="AA52" s="89" t="e">
        <f t="shared" si="4"/>
        <v>#DIV/0!</v>
      </c>
    </row>
    <row r="53" spans="1:27" s="95" customFormat="1" x14ac:dyDescent="0.25">
      <c r="A53" s="130" t="s">
        <v>148</v>
      </c>
      <c r="B53" s="77">
        <v>42.878999999999998</v>
      </c>
      <c r="C53" s="77">
        <f t="shared" si="2"/>
        <v>42.878999999999998</v>
      </c>
      <c r="D53" s="77">
        <f t="shared" si="6"/>
        <v>2.1439499999999998</v>
      </c>
      <c r="E53" s="78">
        <f t="shared" si="0"/>
        <v>4.9999999999999996E-2</v>
      </c>
      <c r="F53" s="77"/>
      <c r="G53" s="79" t="s">
        <v>84</v>
      </c>
      <c r="H53" s="76">
        <v>400013844</v>
      </c>
      <c r="I53" s="80">
        <v>1</v>
      </c>
      <c r="J53" s="81">
        <v>28.4</v>
      </c>
      <c r="K53" s="82"/>
      <c r="L53" s="83">
        <f t="shared" si="1"/>
        <v>42.878999999999998</v>
      </c>
      <c r="M53" s="84" t="s">
        <v>78</v>
      </c>
      <c r="N53" s="79" t="s">
        <v>79</v>
      </c>
      <c r="O53" s="84" t="s">
        <v>78</v>
      </c>
      <c r="P53" s="84" t="s">
        <v>78</v>
      </c>
      <c r="Q53" s="85" t="s">
        <v>78</v>
      </c>
      <c r="R53" s="84" t="s">
        <v>78</v>
      </c>
      <c r="S53" s="84" t="s">
        <v>78</v>
      </c>
      <c r="T53" s="79" t="s">
        <v>85</v>
      </c>
      <c r="U53" s="76">
        <v>80</v>
      </c>
      <c r="V53" s="86">
        <f t="shared" si="3"/>
        <v>3.4646231999999997</v>
      </c>
      <c r="W53" s="87" t="s">
        <v>81</v>
      </c>
      <c r="X53" s="87">
        <v>3</v>
      </c>
      <c r="Y53" s="87">
        <v>5</v>
      </c>
      <c r="Z53" s="88"/>
      <c r="AA53" s="89" t="e">
        <f t="shared" si="4"/>
        <v>#DIV/0!</v>
      </c>
    </row>
    <row r="54" spans="1:27" s="95" customFormat="1" x14ac:dyDescent="0.25">
      <c r="A54" s="130" t="s">
        <v>146</v>
      </c>
      <c r="B54" s="77">
        <v>45.5</v>
      </c>
      <c r="C54" s="77">
        <f t="shared" si="2"/>
        <v>22.75</v>
      </c>
      <c r="D54" s="77">
        <f t="shared" si="6"/>
        <v>1.1375</v>
      </c>
      <c r="E54" s="78">
        <f t="shared" si="0"/>
        <v>4.9999999999999996E-2</v>
      </c>
      <c r="F54" s="77"/>
      <c r="G54" s="79" t="s">
        <v>84</v>
      </c>
      <c r="H54" s="76">
        <v>400013842</v>
      </c>
      <c r="I54" s="80">
        <v>2</v>
      </c>
      <c r="J54" s="81">
        <v>23.8</v>
      </c>
      <c r="K54" s="82"/>
      <c r="L54" s="83">
        <f t="shared" si="1"/>
        <v>22.75</v>
      </c>
      <c r="M54" s="84" t="s">
        <v>78</v>
      </c>
      <c r="N54" s="79" t="s">
        <v>79</v>
      </c>
      <c r="O54" s="84" t="s">
        <v>78</v>
      </c>
      <c r="P54" s="84" t="s">
        <v>78</v>
      </c>
      <c r="Q54" s="85" t="s">
        <v>78</v>
      </c>
      <c r="R54" s="84" t="s">
        <v>78</v>
      </c>
      <c r="S54" s="84" t="s">
        <v>78</v>
      </c>
      <c r="T54" s="79" t="s">
        <v>85</v>
      </c>
      <c r="U54" s="76">
        <v>240</v>
      </c>
      <c r="V54" s="86">
        <f t="shared" si="3"/>
        <v>5.5146000000000006</v>
      </c>
      <c r="W54" s="87" t="s">
        <v>81</v>
      </c>
      <c r="X54" s="87">
        <v>3</v>
      </c>
      <c r="Y54" s="87">
        <v>5</v>
      </c>
      <c r="Z54" s="88"/>
      <c r="AA54" s="89" t="e">
        <f t="shared" si="4"/>
        <v>#DIV/0!</v>
      </c>
    </row>
    <row r="55" spans="1:27" s="95" customFormat="1" x14ac:dyDescent="0.25">
      <c r="A55" s="130" t="s">
        <v>149</v>
      </c>
      <c r="B55" s="77">
        <v>15.534000000000001</v>
      </c>
      <c r="C55" s="77">
        <f t="shared" si="2"/>
        <v>7.7670000000000003</v>
      </c>
      <c r="D55" s="77">
        <f t="shared" si="6"/>
        <v>0.38835000000000003</v>
      </c>
      <c r="E55" s="78">
        <f t="shared" si="0"/>
        <v>0.05</v>
      </c>
      <c r="F55" s="77"/>
      <c r="G55" s="79" t="s">
        <v>83</v>
      </c>
      <c r="H55" s="76">
        <v>400013791</v>
      </c>
      <c r="I55" s="80">
        <v>2</v>
      </c>
      <c r="J55" s="81">
        <v>15.6</v>
      </c>
      <c r="K55" s="82"/>
      <c r="L55" s="83">
        <f t="shared" si="1"/>
        <v>7.7670000000000003</v>
      </c>
      <c r="M55" s="84" t="s">
        <v>78</v>
      </c>
      <c r="N55" s="79" t="s">
        <v>79</v>
      </c>
      <c r="O55" s="84" t="s">
        <v>78</v>
      </c>
      <c r="P55" s="84" t="s">
        <v>78</v>
      </c>
      <c r="Q55" s="85" t="s">
        <v>78</v>
      </c>
      <c r="R55" s="84" t="s">
        <v>78</v>
      </c>
      <c r="S55" s="84" t="s">
        <v>78</v>
      </c>
      <c r="T55" s="79" t="s">
        <v>85</v>
      </c>
      <c r="U55" s="76">
        <v>1000</v>
      </c>
      <c r="V55" s="86">
        <f>L55*U55*1.005/1000</f>
        <v>7.8058349999999992</v>
      </c>
      <c r="W55" s="87" t="s">
        <v>81</v>
      </c>
      <c r="X55" s="87">
        <v>3</v>
      </c>
      <c r="Y55" s="87">
        <v>5</v>
      </c>
      <c r="Z55" s="88"/>
      <c r="AA55" s="89" t="e">
        <f t="shared" si="4"/>
        <v>#DIV/0!</v>
      </c>
    </row>
    <row r="56" spans="1:27" s="95" customFormat="1" x14ac:dyDescent="0.25">
      <c r="A56" s="130" t="s">
        <v>150</v>
      </c>
      <c r="B56" s="77">
        <v>46</v>
      </c>
      <c r="C56" s="77">
        <f t="shared" si="2"/>
        <v>23</v>
      </c>
      <c r="D56" s="77">
        <f t="shared" si="6"/>
        <v>1.1500000000000001</v>
      </c>
      <c r="E56" s="78">
        <f t="shared" si="0"/>
        <v>0.05</v>
      </c>
      <c r="F56" s="77"/>
      <c r="G56" s="79" t="s">
        <v>84</v>
      </c>
      <c r="H56" s="76">
        <v>400013792</v>
      </c>
      <c r="I56" s="80">
        <v>2</v>
      </c>
      <c r="J56" s="81">
        <v>22.5</v>
      </c>
      <c r="K56" s="82"/>
      <c r="L56" s="83">
        <f t="shared" si="1"/>
        <v>23</v>
      </c>
      <c r="M56" s="84" t="s">
        <v>78</v>
      </c>
      <c r="N56" s="79" t="s">
        <v>79</v>
      </c>
      <c r="O56" s="84" t="s">
        <v>78</v>
      </c>
      <c r="P56" s="84" t="s">
        <v>78</v>
      </c>
      <c r="Q56" s="85" t="s">
        <v>78</v>
      </c>
      <c r="R56" s="84" t="s">
        <v>78</v>
      </c>
      <c r="S56" s="84" t="s">
        <v>78</v>
      </c>
      <c r="T56" s="79" t="s">
        <v>85</v>
      </c>
      <c r="U56" s="76">
        <v>250</v>
      </c>
      <c r="V56" s="86">
        <f t="shared" si="3"/>
        <v>5.8075000000000001</v>
      </c>
      <c r="W56" s="87" t="s">
        <v>81</v>
      </c>
      <c r="X56" s="87">
        <v>3</v>
      </c>
      <c r="Y56" s="87">
        <v>5</v>
      </c>
      <c r="Z56" s="88"/>
      <c r="AA56" s="89" t="e">
        <f t="shared" si="4"/>
        <v>#DIV/0!</v>
      </c>
    </row>
    <row r="57" spans="1:27" s="90" customFormat="1" x14ac:dyDescent="0.25">
      <c r="A57" s="131" t="s">
        <v>44</v>
      </c>
      <c r="B57" s="77">
        <v>16.236000000000001</v>
      </c>
      <c r="C57" s="77">
        <f t="shared" si="2"/>
        <v>4.0590000000000002</v>
      </c>
      <c r="D57" s="77">
        <f t="shared" si="6"/>
        <v>0.20295000000000002</v>
      </c>
      <c r="E57" s="78">
        <f t="shared" si="0"/>
        <v>0.05</v>
      </c>
      <c r="F57" s="77"/>
      <c r="G57" s="79" t="s">
        <v>83</v>
      </c>
      <c r="H57" s="76">
        <v>400013975</v>
      </c>
      <c r="I57" s="80">
        <v>4</v>
      </c>
      <c r="J57" s="81">
        <v>17.899999999999999</v>
      </c>
      <c r="K57" s="82"/>
      <c r="L57" s="83">
        <f t="shared" si="1"/>
        <v>4.0590000000000002</v>
      </c>
      <c r="M57" s="84" t="s">
        <v>78</v>
      </c>
      <c r="N57" s="79" t="s">
        <v>79</v>
      </c>
      <c r="O57" s="84">
        <v>250</v>
      </c>
      <c r="P57" s="79" t="s">
        <v>88</v>
      </c>
      <c r="Q57" s="76">
        <v>750</v>
      </c>
      <c r="R57" s="86">
        <f t="shared" ref="R57" si="8">MROUND((L57*Q57*1.01/1000), ((I57*C57)/1000))</f>
        <v>3.0686040000000001</v>
      </c>
      <c r="S57" s="84">
        <v>2</v>
      </c>
      <c r="T57" s="79" t="s">
        <v>80</v>
      </c>
      <c r="U57" s="76">
        <v>1500</v>
      </c>
      <c r="V57" s="86">
        <f t="shared" si="3"/>
        <v>6.1493850000000005</v>
      </c>
      <c r="W57" s="87" t="s">
        <v>81</v>
      </c>
      <c r="X57" s="87">
        <v>3</v>
      </c>
      <c r="Y57" s="87">
        <v>10</v>
      </c>
      <c r="Z57" s="96"/>
      <c r="AA57" s="89" t="e">
        <f t="shared" si="4"/>
        <v>#DIV/0!</v>
      </c>
    </row>
    <row r="58" spans="1:27" s="95" customFormat="1" x14ac:dyDescent="0.25">
      <c r="A58" s="131" t="s">
        <v>43</v>
      </c>
      <c r="B58" s="77">
        <v>9.6</v>
      </c>
      <c r="C58" s="77">
        <f t="shared" si="2"/>
        <v>0.6</v>
      </c>
      <c r="D58" s="77">
        <f t="shared" si="6"/>
        <v>0.03</v>
      </c>
      <c r="E58" s="78">
        <f t="shared" si="0"/>
        <v>0.05</v>
      </c>
      <c r="F58" s="88"/>
      <c r="G58" s="79" t="s">
        <v>83</v>
      </c>
      <c r="H58" s="76">
        <v>400014104</v>
      </c>
      <c r="I58" s="97">
        <v>16</v>
      </c>
      <c r="J58" s="81">
        <v>15</v>
      </c>
      <c r="K58" s="82"/>
      <c r="L58" s="83">
        <f t="shared" si="1"/>
        <v>0.6</v>
      </c>
      <c r="M58" s="84" t="s">
        <v>78</v>
      </c>
      <c r="N58" s="79" t="s">
        <v>79</v>
      </c>
      <c r="O58" s="84" t="s">
        <v>78</v>
      </c>
      <c r="P58" s="84" t="s">
        <v>78</v>
      </c>
      <c r="Q58" s="85" t="s">
        <v>78</v>
      </c>
      <c r="R58" s="84" t="s">
        <v>78</v>
      </c>
      <c r="S58" s="84" t="s">
        <v>78</v>
      </c>
      <c r="T58" s="79" t="s">
        <v>80</v>
      </c>
      <c r="U58" s="76">
        <v>4400</v>
      </c>
      <c r="V58" s="86">
        <f t="shared" si="3"/>
        <v>2.6663999999999999</v>
      </c>
      <c r="W58" s="87" t="s">
        <v>81</v>
      </c>
      <c r="X58" s="87">
        <v>3</v>
      </c>
      <c r="Y58" s="87">
        <v>10</v>
      </c>
      <c r="Z58" s="88"/>
      <c r="AA58" s="89" t="e">
        <f t="shared" si="4"/>
        <v>#DIV/0!</v>
      </c>
    </row>
    <row r="59" spans="1:27" s="95" customFormat="1" x14ac:dyDescent="0.25">
      <c r="A59" s="131" t="s">
        <v>180</v>
      </c>
      <c r="B59" s="77">
        <v>11.2</v>
      </c>
      <c r="C59" s="77">
        <f t="shared" si="2"/>
        <v>0.7</v>
      </c>
      <c r="D59" s="77">
        <f t="shared" si="6"/>
        <v>3.4999999999999996E-2</v>
      </c>
      <c r="E59" s="78">
        <f t="shared" si="0"/>
        <v>4.9999999999999996E-2</v>
      </c>
      <c r="F59" s="88"/>
      <c r="G59" s="79" t="s">
        <v>83</v>
      </c>
      <c r="H59" s="76">
        <v>400014104</v>
      </c>
      <c r="I59" s="97">
        <v>16</v>
      </c>
      <c r="J59" s="81">
        <v>15</v>
      </c>
      <c r="K59" s="82"/>
      <c r="L59" s="83">
        <f t="shared" si="1"/>
        <v>0.7</v>
      </c>
      <c r="M59" s="84" t="s">
        <v>78</v>
      </c>
      <c r="N59" s="79" t="s">
        <v>79</v>
      </c>
      <c r="O59" s="84" t="s">
        <v>78</v>
      </c>
      <c r="P59" s="84" t="s">
        <v>78</v>
      </c>
      <c r="Q59" s="85" t="s">
        <v>78</v>
      </c>
      <c r="R59" s="84" t="s">
        <v>78</v>
      </c>
      <c r="S59" s="84" t="s">
        <v>78</v>
      </c>
      <c r="T59" s="79" t="s">
        <v>80</v>
      </c>
      <c r="U59" s="76">
        <v>4400</v>
      </c>
      <c r="V59" s="86">
        <f t="shared" si="3"/>
        <v>3.1108000000000002</v>
      </c>
      <c r="W59" s="87" t="s">
        <v>81</v>
      </c>
      <c r="X59" s="87">
        <v>3</v>
      </c>
      <c r="Y59" s="87">
        <v>10</v>
      </c>
      <c r="Z59" s="88"/>
      <c r="AA59" s="89" t="e">
        <f t="shared" si="4"/>
        <v>#DIV/0!</v>
      </c>
    </row>
    <row r="60" spans="1:27" s="95" customFormat="1" x14ac:dyDescent="0.25">
      <c r="A60" s="130" t="s">
        <v>154</v>
      </c>
      <c r="B60" s="77">
        <v>28.18</v>
      </c>
      <c r="C60" s="77">
        <f t="shared" si="2"/>
        <v>1.76125</v>
      </c>
      <c r="D60" s="77">
        <f t="shared" si="6"/>
        <v>8.8062500000000002E-2</v>
      </c>
      <c r="E60" s="78">
        <f t="shared" si="0"/>
        <v>0.05</v>
      </c>
      <c r="F60" s="88"/>
      <c r="G60" s="79" t="s">
        <v>83</v>
      </c>
      <c r="H60" s="76">
        <v>400014402</v>
      </c>
      <c r="I60" s="97">
        <v>16</v>
      </c>
      <c r="J60" s="81">
        <v>21.6</v>
      </c>
      <c r="K60" s="82"/>
      <c r="L60" s="83">
        <f t="shared" si="1"/>
        <v>1.76125</v>
      </c>
      <c r="M60" s="84" t="s">
        <v>78</v>
      </c>
      <c r="N60" s="79" t="s">
        <v>79</v>
      </c>
      <c r="O60" s="84" t="s">
        <v>78</v>
      </c>
      <c r="P60" s="84" t="s">
        <v>78</v>
      </c>
      <c r="Q60" s="85" t="s">
        <v>78</v>
      </c>
      <c r="R60" s="84" t="s">
        <v>78</v>
      </c>
      <c r="S60" s="84" t="s">
        <v>78</v>
      </c>
      <c r="T60" s="79" t="s">
        <v>80</v>
      </c>
      <c r="U60" s="76">
        <v>4000</v>
      </c>
      <c r="V60" s="86">
        <f t="shared" si="3"/>
        <v>7.1154500000000001</v>
      </c>
      <c r="W60" s="87" t="s">
        <v>81</v>
      </c>
      <c r="X60" s="87">
        <v>3</v>
      </c>
      <c r="Y60" s="87">
        <v>10</v>
      </c>
      <c r="Z60" s="88"/>
      <c r="AA60" s="89" t="e">
        <f t="shared" si="4"/>
        <v>#DIV/0!</v>
      </c>
    </row>
    <row r="61" spans="1:27" s="95" customFormat="1" x14ac:dyDescent="0.25">
      <c r="A61" s="130" t="s">
        <v>152</v>
      </c>
      <c r="B61" s="77">
        <v>157</v>
      </c>
      <c r="C61" s="77">
        <f t="shared" si="2"/>
        <v>78.5</v>
      </c>
      <c r="D61" s="77">
        <f t="shared" si="6"/>
        <v>3.9250000000000003</v>
      </c>
      <c r="E61" s="78">
        <f t="shared" si="0"/>
        <v>0.05</v>
      </c>
      <c r="F61" s="88"/>
      <c r="G61" s="79" t="s">
        <v>77</v>
      </c>
      <c r="H61" s="76">
        <v>400014404</v>
      </c>
      <c r="I61" s="97">
        <v>2</v>
      </c>
      <c r="J61" s="81">
        <v>26</v>
      </c>
      <c r="K61" s="82"/>
      <c r="L61" s="83">
        <f t="shared" si="1"/>
        <v>78.5</v>
      </c>
      <c r="M61" s="84" t="s">
        <v>78</v>
      </c>
      <c r="N61" s="79" t="s">
        <v>79</v>
      </c>
      <c r="O61" s="84" t="s">
        <v>78</v>
      </c>
      <c r="P61" s="84" t="s">
        <v>78</v>
      </c>
      <c r="Q61" s="85" t="s">
        <v>78</v>
      </c>
      <c r="R61" s="84" t="s">
        <v>78</v>
      </c>
      <c r="S61" s="84" t="s">
        <v>78</v>
      </c>
      <c r="T61" s="79" t="s">
        <v>85</v>
      </c>
      <c r="U61" s="76">
        <v>40</v>
      </c>
      <c r="V61" s="86">
        <f t="shared" si="3"/>
        <v>3.1714000000000002</v>
      </c>
      <c r="W61" s="87" t="s">
        <v>81</v>
      </c>
      <c r="X61" s="87">
        <v>3</v>
      </c>
      <c r="Y61" s="87">
        <v>5</v>
      </c>
      <c r="Z61" s="88"/>
      <c r="AA61" s="89" t="e">
        <f t="shared" si="4"/>
        <v>#DIV/0!</v>
      </c>
    </row>
    <row r="62" spans="1:27" s="95" customFormat="1" x14ac:dyDescent="0.25">
      <c r="A62" s="130" t="s">
        <v>156</v>
      </c>
      <c r="B62" s="77">
        <v>30.2</v>
      </c>
      <c r="C62" s="77">
        <f t="shared" si="2"/>
        <v>30.2</v>
      </c>
      <c r="D62" s="77">
        <f t="shared" si="6"/>
        <v>1.51</v>
      </c>
      <c r="E62" s="78">
        <f t="shared" si="0"/>
        <v>0.05</v>
      </c>
      <c r="F62" s="88"/>
      <c r="G62" s="79" t="s">
        <v>84</v>
      </c>
      <c r="H62" s="76">
        <v>400015367</v>
      </c>
      <c r="I62" s="97">
        <v>1</v>
      </c>
      <c r="J62" s="81">
        <v>30</v>
      </c>
      <c r="K62" s="82"/>
      <c r="L62" s="83">
        <f t="shared" si="1"/>
        <v>30.2</v>
      </c>
      <c r="M62" s="84" t="s">
        <v>78</v>
      </c>
      <c r="N62" s="79" t="s">
        <v>79</v>
      </c>
      <c r="O62" s="84" t="s">
        <v>78</v>
      </c>
      <c r="P62" s="84" t="s">
        <v>78</v>
      </c>
      <c r="Q62" s="85" t="s">
        <v>78</v>
      </c>
      <c r="R62" s="84" t="s">
        <v>78</v>
      </c>
      <c r="S62" s="84" t="s">
        <v>78</v>
      </c>
      <c r="T62" s="79" t="s">
        <v>85</v>
      </c>
      <c r="U62" s="76">
        <v>100</v>
      </c>
      <c r="V62" s="86">
        <f t="shared" si="3"/>
        <v>3.0501999999999998</v>
      </c>
      <c r="W62" s="87" t="s">
        <v>81</v>
      </c>
      <c r="X62" s="87">
        <v>3</v>
      </c>
      <c r="Y62" s="87">
        <v>5</v>
      </c>
      <c r="Z62" s="88"/>
      <c r="AA62" s="89" t="e">
        <f t="shared" si="4"/>
        <v>#DIV/0!</v>
      </c>
    </row>
    <row r="63" spans="1:27" s="95" customFormat="1" x14ac:dyDescent="0.25">
      <c r="A63" s="130" t="s">
        <v>157</v>
      </c>
      <c r="B63" s="77">
        <v>30.2</v>
      </c>
      <c r="C63" s="77">
        <f t="shared" si="2"/>
        <v>30.2</v>
      </c>
      <c r="D63" s="77">
        <f t="shared" si="6"/>
        <v>1.51</v>
      </c>
      <c r="E63" s="78">
        <f t="shared" si="0"/>
        <v>0.05</v>
      </c>
      <c r="F63" s="88"/>
      <c r="G63" s="79" t="s">
        <v>84</v>
      </c>
      <c r="H63" s="76">
        <v>400015367</v>
      </c>
      <c r="I63" s="97">
        <v>1</v>
      </c>
      <c r="J63" s="81">
        <v>30</v>
      </c>
      <c r="K63" s="82"/>
      <c r="L63" s="83">
        <f t="shared" si="1"/>
        <v>30.2</v>
      </c>
      <c r="M63" s="84" t="s">
        <v>78</v>
      </c>
      <c r="N63" s="79" t="s">
        <v>79</v>
      </c>
      <c r="O63" s="84" t="s">
        <v>78</v>
      </c>
      <c r="P63" s="84" t="s">
        <v>78</v>
      </c>
      <c r="Q63" s="85" t="s">
        <v>78</v>
      </c>
      <c r="R63" s="84" t="s">
        <v>78</v>
      </c>
      <c r="S63" s="84" t="s">
        <v>78</v>
      </c>
      <c r="T63" s="79" t="s">
        <v>85</v>
      </c>
      <c r="U63" s="76">
        <v>100</v>
      </c>
      <c r="V63" s="86">
        <f t="shared" si="3"/>
        <v>3.0501999999999998</v>
      </c>
      <c r="W63" s="87" t="s">
        <v>81</v>
      </c>
      <c r="X63" s="87">
        <v>3</v>
      </c>
      <c r="Y63" s="87">
        <v>5</v>
      </c>
      <c r="Z63" s="88"/>
      <c r="AA63" s="89" t="e">
        <f t="shared" si="4"/>
        <v>#DIV/0!</v>
      </c>
    </row>
    <row r="64" spans="1:27" s="95" customFormat="1" x14ac:dyDescent="0.25">
      <c r="A64" s="130" t="s">
        <v>158</v>
      </c>
      <c r="B64" s="77">
        <v>19.3</v>
      </c>
      <c r="C64" s="77">
        <f t="shared" si="2"/>
        <v>19.3</v>
      </c>
      <c r="D64" s="77">
        <f t="shared" si="6"/>
        <v>0.96500000000000008</v>
      </c>
      <c r="E64" s="78">
        <f t="shared" si="0"/>
        <v>0.05</v>
      </c>
      <c r="F64" s="88"/>
      <c r="G64" s="79" t="s">
        <v>84</v>
      </c>
      <c r="H64" s="76">
        <v>400015368</v>
      </c>
      <c r="I64" s="97">
        <v>1</v>
      </c>
      <c r="J64" s="81">
        <v>30</v>
      </c>
      <c r="K64" s="82"/>
      <c r="L64" s="83">
        <f t="shared" si="1"/>
        <v>19.3</v>
      </c>
      <c r="M64" s="84" t="s">
        <v>78</v>
      </c>
      <c r="N64" s="79" t="s">
        <v>79</v>
      </c>
      <c r="O64" s="84" t="s">
        <v>78</v>
      </c>
      <c r="P64" s="84" t="s">
        <v>78</v>
      </c>
      <c r="Q64" s="85" t="s">
        <v>78</v>
      </c>
      <c r="R64" s="84" t="s">
        <v>78</v>
      </c>
      <c r="S64" s="84" t="s">
        <v>78</v>
      </c>
      <c r="T64" s="79" t="s">
        <v>85</v>
      </c>
      <c r="U64" s="76">
        <v>300</v>
      </c>
      <c r="V64" s="86">
        <f t="shared" si="3"/>
        <v>5.8478999999999992</v>
      </c>
      <c r="W64" s="87" t="s">
        <v>81</v>
      </c>
      <c r="X64" s="87">
        <v>3</v>
      </c>
      <c r="Y64" s="87">
        <v>5</v>
      </c>
      <c r="Z64" s="88"/>
      <c r="AA64" s="89" t="e">
        <f t="shared" si="4"/>
        <v>#DIV/0!</v>
      </c>
    </row>
    <row r="65" spans="1:27" s="95" customFormat="1" x14ac:dyDescent="0.25">
      <c r="A65" s="130" t="s">
        <v>159</v>
      </c>
      <c r="B65" s="77">
        <v>19.3</v>
      </c>
      <c r="C65" s="77">
        <f t="shared" si="2"/>
        <v>19.3</v>
      </c>
      <c r="D65" s="77">
        <f t="shared" si="6"/>
        <v>0.96500000000000008</v>
      </c>
      <c r="E65" s="78">
        <f t="shared" si="0"/>
        <v>0.05</v>
      </c>
      <c r="F65" s="88"/>
      <c r="G65" s="79" t="s">
        <v>84</v>
      </c>
      <c r="H65" s="76">
        <v>400015368</v>
      </c>
      <c r="I65" s="97">
        <v>1</v>
      </c>
      <c r="J65" s="81">
        <v>30</v>
      </c>
      <c r="K65" s="82"/>
      <c r="L65" s="83">
        <f t="shared" si="1"/>
        <v>19.3</v>
      </c>
      <c r="M65" s="84" t="s">
        <v>78</v>
      </c>
      <c r="N65" s="79" t="s">
        <v>79</v>
      </c>
      <c r="O65" s="84" t="s">
        <v>78</v>
      </c>
      <c r="P65" s="84" t="s">
        <v>78</v>
      </c>
      <c r="Q65" s="85" t="s">
        <v>78</v>
      </c>
      <c r="R65" s="84" t="s">
        <v>78</v>
      </c>
      <c r="S65" s="84" t="s">
        <v>78</v>
      </c>
      <c r="T65" s="79" t="s">
        <v>85</v>
      </c>
      <c r="U65" s="76">
        <v>300</v>
      </c>
      <c r="V65" s="86">
        <f t="shared" si="3"/>
        <v>5.8478999999999992</v>
      </c>
      <c r="W65" s="87" t="s">
        <v>81</v>
      </c>
      <c r="X65" s="87">
        <v>3</v>
      </c>
      <c r="Y65" s="87">
        <v>5</v>
      </c>
      <c r="Z65" s="88"/>
      <c r="AA65" s="89" t="e">
        <f t="shared" si="4"/>
        <v>#DIV/0!</v>
      </c>
    </row>
    <row r="66" spans="1:27" s="95" customFormat="1" x14ac:dyDescent="0.25">
      <c r="A66" s="130" t="s">
        <v>155</v>
      </c>
      <c r="B66" s="77">
        <v>14.4</v>
      </c>
      <c r="C66" s="77">
        <f t="shared" si="2"/>
        <v>0.9</v>
      </c>
      <c r="D66" s="77">
        <f t="shared" si="6"/>
        <v>4.5000000000000005E-2</v>
      </c>
      <c r="E66" s="78">
        <f t="shared" si="0"/>
        <v>0.05</v>
      </c>
      <c r="F66" s="88"/>
      <c r="G66" s="79" t="s">
        <v>84</v>
      </c>
      <c r="H66" s="76">
        <v>400015369</v>
      </c>
      <c r="I66" s="97">
        <v>16</v>
      </c>
      <c r="J66" s="81">
        <v>15</v>
      </c>
      <c r="K66" s="82"/>
      <c r="L66" s="83">
        <f t="shared" si="1"/>
        <v>0.9</v>
      </c>
      <c r="M66" s="84" t="s">
        <v>78</v>
      </c>
      <c r="N66" s="79" t="s">
        <v>79</v>
      </c>
      <c r="O66" s="84" t="s">
        <v>78</v>
      </c>
      <c r="P66" s="84" t="s">
        <v>78</v>
      </c>
      <c r="Q66" s="85" t="s">
        <v>78</v>
      </c>
      <c r="R66" s="84" t="s">
        <v>78</v>
      </c>
      <c r="S66" s="84" t="s">
        <v>78</v>
      </c>
      <c r="T66" s="79" t="s">
        <v>80</v>
      </c>
      <c r="U66" s="76">
        <v>5000</v>
      </c>
      <c r="V66" s="86">
        <f t="shared" si="3"/>
        <v>4.5449999999999999</v>
      </c>
      <c r="W66" s="87" t="s">
        <v>81</v>
      </c>
      <c r="X66" s="87">
        <v>3</v>
      </c>
      <c r="Y66" s="87">
        <v>10</v>
      </c>
      <c r="Z66" s="88"/>
      <c r="AA66" s="89" t="e">
        <f t="shared" si="4"/>
        <v>#DIV/0!</v>
      </c>
    </row>
    <row r="67" spans="1:27" s="90" customFormat="1" x14ac:dyDescent="0.25">
      <c r="A67" s="98"/>
      <c r="B67" s="98"/>
      <c r="C67" s="96"/>
      <c r="D67" s="96"/>
      <c r="E67" s="99"/>
      <c r="F67" s="96"/>
      <c r="G67" s="100"/>
      <c r="H67" s="98"/>
      <c r="I67" s="101"/>
      <c r="J67" s="102"/>
      <c r="K67" s="103"/>
      <c r="L67" s="104"/>
      <c r="M67" s="105"/>
      <c r="N67" s="100"/>
      <c r="O67" s="105"/>
      <c r="P67" s="105"/>
      <c r="Q67" s="106"/>
      <c r="R67" s="105"/>
      <c r="S67" s="105"/>
      <c r="T67" s="100"/>
      <c r="U67" s="107"/>
      <c r="V67" s="108"/>
      <c r="W67" s="100"/>
      <c r="X67" s="100"/>
      <c r="Y67" s="100"/>
      <c r="Z67" s="96"/>
      <c r="AA67" s="109"/>
    </row>
    <row r="68" spans="1:27" s="90" customFormat="1" x14ac:dyDescent="0.25">
      <c r="A68" s="98"/>
      <c r="B68" s="98"/>
      <c r="C68" s="96"/>
      <c r="D68" s="96"/>
      <c r="E68" s="99"/>
      <c r="F68" s="96"/>
      <c r="G68" s="100"/>
      <c r="H68" s="98"/>
      <c r="I68" s="101"/>
      <c r="J68" s="102"/>
      <c r="K68" s="103"/>
      <c r="L68" s="104"/>
      <c r="M68" s="105"/>
      <c r="N68" s="100"/>
      <c r="O68" s="105"/>
      <c r="P68" s="105"/>
      <c r="Q68" s="106"/>
      <c r="R68" s="105"/>
      <c r="S68" s="105"/>
      <c r="T68" s="100"/>
      <c r="U68" s="107"/>
      <c r="V68" s="108"/>
      <c r="W68" s="100"/>
      <c r="X68" s="100"/>
      <c r="Y68" s="100"/>
      <c r="Z68" s="96"/>
      <c r="AA68" s="109"/>
    </row>
    <row r="69" spans="1:27" x14ac:dyDescent="0.25">
      <c r="C69" s="68" t="s">
        <v>90</v>
      </c>
      <c r="Z69" s="68" t="s">
        <v>90</v>
      </c>
    </row>
    <row r="70" spans="1:27" x14ac:dyDescent="0.25">
      <c r="A70" s="116" t="s">
        <v>91</v>
      </c>
      <c r="B70" s="116"/>
      <c r="C70" s="116"/>
      <c r="D70" s="116"/>
      <c r="E70" s="116"/>
      <c r="F70" s="116"/>
      <c r="Z70" s="116"/>
    </row>
    <row r="71" spans="1:27" x14ac:dyDescent="0.25">
      <c r="A71" s="117" t="s">
        <v>92</v>
      </c>
      <c r="B71" s="117"/>
      <c r="C71" s="117"/>
      <c r="D71" s="117"/>
      <c r="E71" s="117"/>
      <c r="F71" s="117"/>
      <c r="G71" s="93" t="s">
        <v>93</v>
      </c>
      <c r="H71" s="118" t="s">
        <v>94</v>
      </c>
      <c r="I71" s="111">
        <v>1</v>
      </c>
      <c r="J71" s="119">
        <v>7</v>
      </c>
      <c r="L71" s="114">
        <v>1.87</v>
      </c>
      <c r="M71" s="120" t="s">
        <v>95</v>
      </c>
      <c r="N71" s="74" t="s">
        <v>79</v>
      </c>
      <c r="O71" s="120" t="s">
        <v>95</v>
      </c>
      <c r="P71" s="120" t="s">
        <v>95</v>
      </c>
      <c r="Q71" s="118" t="s">
        <v>95</v>
      </c>
      <c r="R71" s="120" t="s">
        <v>95</v>
      </c>
      <c r="S71" s="120" t="s">
        <v>95</v>
      </c>
      <c r="T71" s="74" t="s">
        <v>85</v>
      </c>
      <c r="U71" s="110">
        <v>3000</v>
      </c>
      <c r="V71" s="115">
        <f t="shared" ref="V71:V95" si="9">L71*U71/1000</f>
        <v>5.61</v>
      </c>
      <c r="W71" s="74" t="s">
        <v>81</v>
      </c>
      <c r="X71" s="74">
        <v>3</v>
      </c>
      <c r="Y71" s="74">
        <v>5</v>
      </c>
      <c r="Z71" s="117"/>
    </row>
    <row r="72" spans="1:27" x14ac:dyDescent="0.25">
      <c r="A72" s="117" t="s">
        <v>96</v>
      </c>
      <c r="B72" s="117"/>
      <c r="C72" s="117"/>
      <c r="D72" s="117"/>
      <c r="E72" s="117"/>
      <c r="F72" s="117"/>
      <c r="G72" s="93" t="s">
        <v>97</v>
      </c>
      <c r="H72" s="118" t="s">
        <v>98</v>
      </c>
      <c r="I72" s="111">
        <v>1</v>
      </c>
      <c r="J72" s="119">
        <v>5</v>
      </c>
      <c r="L72" s="114">
        <v>2.5499999999999998</v>
      </c>
      <c r="M72" s="120" t="s">
        <v>95</v>
      </c>
      <c r="N72" s="74" t="s">
        <v>79</v>
      </c>
      <c r="O72" s="120" t="s">
        <v>95</v>
      </c>
      <c r="P72" s="120" t="s">
        <v>95</v>
      </c>
      <c r="Q72" s="118" t="s">
        <v>95</v>
      </c>
      <c r="R72" s="120" t="s">
        <v>95</v>
      </c>
      <c r="S72" s="120" t="s">
        <v>95</v>
      </c>
      <c r="T72" s="74" t="s">
        <v>85</v>
      </c>
      <c r="U72" s="110">
        <v>2000</v>
      </c>
      <c r="V72" s="115">
        <f t="shared" si="9"/>
        <v>5.0999999999999996</v>
      </c>
      <c r="W72" s="74" t="s">
        <v>81</v>
      </c>
      <c r="X72" s="74">
        <v>3</v>
      </c>
      <c r="Y72" s="74">
        <v>5</v>
      </c>
      <c r="Z72" s="117"/>
    </row>
    <row r="73" spans="1:27" x14ac:dyDescent="0.25">
      <c r="A73" s="68" t="s">
        <v>99</v>
      </c>
      <c r="F73" s="117"/>
      <c r="G73" s="93" t="s">
        <v>97</v>
      </c>
      <c r="H73" s="118" t="s">
        <v>100</v>
      </c>
      <c r="I73" s="111">
        <v>1</v>
      </c>
      <c r="J73" s="119">
        <v>5</v>
      </c>
      <c r="L73" s="114">
        <v>2.64</v>
      </c>
      <c r="M73" s="120" t="s">
        <v>95</v>
      </c>
      <c r="N73" s="74" t="s">
        <v>79</v>
      </c>
      <c r="O73" s="120" t="s">
        <v>95</v>
      </c>
      <c r="P73" s="120" t="s">
        <v>95</v>
      </c>
      <c r="Q73" s="118" t="s">
        <v>95</v>
      </c>
      <c r="R73" s="120" t="s">
        <v>95</v>
      </c>
      <c r="S73" s="120" t="s">
        <v>95</v>
      </c>
      <c r="T73" s="74" t="s">
        <v>85</v>
      </c>
      <c r="U73" s="110">
        <v>2000</v>
      </c>
      <c r="V73" s="115">
        <f t="shared" si="9"/>
        <v>5.28</v>
      </c>
      <c r="W73" s="74" t="s">
        <v>81</v>
      </c>
      <c r="X73" s="74">
        <v>3</v>
      </c>
      <c r="Y73" s="74">
        <v>5</v>
      </c>
      <c r="Z73" s="68"/>
    </row>
    <row r="74" spans="1:27" x14ac:dyDescent="0.25">
      <c r="A74" s="68" t="s">
        <v>101</v>
      </c>
      <c r="F74" s="117"/>
      <c r="G74" s="93" t="s">
        <v>102</v>
      </c>
      <c r="H74" s="118" t="s">
        <v>103</v>
      </c>
      <c r="I74" s="111">
        <v>1</v>
      </c>
      <c r="J74" s="119">
        <v>5</v>
      </c>
      <c r="L74" s="114">
        <v>2.62</v>
      </c>
      <c r="M74" s="120" t="s">
        <v>95</v>
      </c>
      <c r="N74" s="74" t="s">
        <v>79</v>
      </c>
      <c r="O74" s="120" t="s">
        <v>95</v>
      </c>
      <c r="P74" s="120" t="s">
        <v>95</v>
      </c>
      <c r="Q74" s="118" t="s">
        <v>95</v>
      </c>
      <c r="R74" s="120" t="s">
        <v>95</v>
      </c>
      <c r="S74" s="120" t="s">
        <v>95</v>
      </c>
      <c r="T74" s="74" t="s">
        <v>85</v>
      </c>
      <c r="U74" s="110">
        <v>2000</v>
      </c>
      <c r="V74" s="115">
        <f t="shared" si="9"/>
        <v>5.24</v>
      </c>
      <c r="W74" s="74" t="s">
        <v>81</v>
      </c>
      <c r="X74" s="74">
        <v>3</v>
      </c>
      <c r="Y74" s="74">
        <v>5</v>
      </c>
      <c r="Z74" s="68"/>
    </row>
    <row r="75" spans="1:27" x14ac:dyDescent="0.25">
      <c r="A75" s="68">
        <v>201310000</v>
      </c>
      <c r="F75" s="117"/>
      <c r="G75" s="93" t="s">
        <v>93</v>
      </c>
      <c r="H75" s="110">
        <v>201310</v>
      </c>
      <c r="I75" s="111">
        <v>1</v>
      </c>
      <c r="J75" s="119">
        <v>7</v>
      </c>
      <c r="L75" s="114">
        <v>6.3730000000000002</v>
      </c>
      <c r="M75" s="120" t="s">
        <v>95</v>
      </c>
      <c r="N75" s="74" t="s">
        <v>79</v>
      </c>
      <c r="O75" s="120" t="s">
        <v>95</v>
      </c>
      <c r="P75" s="120" t="s">
        <v>95</v>
      </c>
      <c r="Q75" s="118" t="s">
        <v>95</v>
      </c>
      <c r="R75" s="120" t="s">
        <v>95</v>
      </c>
      <c r="S75" s="120" t="s">
        <v>95</v>
      </c>
      <c r="T75" s="74" t="s">
        <v>85</v>
      </c>
      <c r="U75" s="110">
        <v>1000</v>
      </c>
      <c r="V75" s="115">
        <f t="shared" si="9"/>
        <v>6.3730000000000002</v>
      </c>
      <c r="W75" s="74" t="s">
        <v>81</v>
      </c>
      <c r="X75" s="74">
        <v>3</v>
      </c>
      <c r="Y75" s="74">
        <v>5</v>
      </c>
      <c r="Z75" s="68"/>
    </row>
    <row r="76" spans="1:27" x14ac:dyDescent="0.25">
      <c r="A76" s="68">
        <v>204051000</v>
      </c>
      <c r="F76" s="117"/>
      <c r="G76" s="93" t="s">
        <v>93</v>
      </c>
      <c r="H76" s="110">
        <v>204051</v>
      </c>
      <c r="I76" s="111">
        <v>1</v>
      </c>
      <c r="J76" s="119">
        <v>8</v>
      </c>
      <c r="L76" s="114">
        <v>3.21</v>
      </c>
      <c r="M76" s="120" t="s">
        <v>95</v>
      </c>
      <c r="N76" s="74" t="s">
        <v>79</v>
      </c>
      <c r="O76" s="120" t="s">
        <v>95</v>
      </c>
      <c r="P76" s="120" t="s">
        <v>95</v>
      </c>
      <c r="Q76" s="118" t="s">
        <v>95</v>
      </c>
      <c r="R76" s="120" t="s">
        <v>95</v>
      </c>
      <c r="S76" s="120" t="s">
        <v>95</v>
      </c>
      <c r="T76" s="74" t="s">
        <v>85</v>
      </c>
      <c r="U76" s="110">
        <v>2000</v>
      </c>
      <c r="V76" s="115">
        <f t="shared" si="9"/>
        <v>6.42</v>
      </c>
      <c r="W76" s="74" t="s">
        <v>81</v>
      </c>
      <c r="X76" s="74">
        <v>3</v>
      </c>
      <c r="Y76" s="74">
        <v>5</v>
      </c>
      <c r="Z76" s="68"/>
    </row>
    <row r="77" spans="1:27" x14ac:dyDescent="0.25">
      <c r="A77" s="68">
        <v>204814000</v>
      </c>
      <c r="F77" s="117"/>
      <c r="G77" s="74" t="s">
        <v>93</v>
      </c>
      <c r="H77" s="110">
        <v>204814</v>
      </c>
      <c r="I77" s="111">
        <v>1</v>
      </c>
      <c r="J77" s="119">
        <v>7</v>
      </c>
      <c r="L77" s="114">
        <v>3.96</v>
      </c>
      <c r="M77" s="120" t="s">
        <v>95</v>
      </c>
      <c r="N77" s="74" t="s">
        <v>79</v>
      </c>
      <c r="O77" s="120" t="s">
        <v>95</v>
      </c>
      <c r="P77" s="74" t="s">
        <v>88</v>
      </c>
      <c r="Q77" s="110">
        <v>300</v>
      </c>
      <c r="R77" s="115">
        <f>L77*Q77/1000</f>
        <v>1.1879999999999999</v>
      </c>
      <c r="S77" s="74">
        <v>4</v>
      </c>
      <c r="T77" s="74" t="s">
        <v>85</v>
      </c>
      <c r="U77" s="110">
        <v>1200</v>
      </c>
      <c r="V77" s="115">
        <f t="shared" si="9"/>
        <v>4.7519999999999998</v>
      </c>
      <c r="W77" s="74" t="s">
        <v>81</v>
      </c>
      <c r="X77" s="74">
        <v>3</v>
      </c>
      <c r="Y77" s="74">
        <v>5</v>
      </c>
      <c r="Z77" s="68"/>
    </row>
    <row r="78" spans="1:27" x14ac:dyDescent="0.25">
      <c r="A78" s="68">
        <v>211970000</v>
      </c>
      <c r="F78" s="117"/>
      <c r="G78" s="74" t="s">
        <v>104</v>
      </c>
      <c r="H78" s="110">
        <v>211970</v>
      </c>
      <c r="I78" s="111">
        <v>1</v>
      </c>
      <c r="J78" s="119">
        <v>5</v>
      </c>
      <c r="L78" s="114">
        <v>17</v>
      </c>
      <c r="M78" s="120" t="s">
        <v>95</v>
      </c>
      <c r="N78" s="74" t="s">
        <v>79</v>
      </c>
      <c r="O78" s="120" t="s">
        <v>95</v>
      </c>
      <c r="P78" s="120" t="s">
        <v>95</v>
      </c>
      <c r="Q78" s="118" t="s">
        <v>95</v>
      </c>
      <c r="R78" s="120" t="s">
        <v>95</v>
      </c>
      <c r="S78" s="120" t="s">
        <v>95</v>
      </c>
      <c r="T78" s="74" t="s">
        <v>80</v>
      </c>
      <c r="U78" s="110">
        <v>200</v>
      </c>
      <c r="V78" s="115">
        <f t="shared" si="9"/>
        <v>3.4</v>
      </c>
      <c r="W78" s="74" t="s">
        <v>81</v>
      </c>
      <c r="X78" s="74">
        <v>3</v>
      </c>
      <c r="Y78" s="74">
        <v>10</v>
      </c>
      <c r="Z78" s="68"/>
    </row>
    <row r="79" spans="1:27" x14ac:dyDescent="0.25">
      <c r="A79" s="68">
        <v>218680001</v>
      </c>
      <c r="F79" s="117"/>
      <c r="G79" s="74" t="s">
        <v>93</v>
      </c>
      <c r="H79" s="110">
        <v>218680</v>
      </c>
      <c r="I79" s="111">
        <v>1</v>
      </c>
      <c r="J79" s="119">
        <v>7</v>
      </c>
      <c r="L79" s="114">
        <v>2.65</v>
      </c>
      <c r="M79" s="120" t="s">
        <v>95</v>
      </c>
      <c r="N79" s="74" t="s">
        <v>79</v>
      </c>
      <c r="O79" s="120" t="s">
        <v>95</v>
      </c>
      <c r="P79" s="120" t="s">
        <v>95</v>
      </c>
      <c r="Q79" s="118" t="s">
        <v>95</v>
      </c>
      <c r="R79" s="120" t="s">
        <v>95</v>
      </c>
      <c r="S79" s="120" t="s">
        <v>95</v>
      </c>
      <c r="T79" s="74" t="s">
        <v>85</v>
      </c>
      <c r="U79" s="110">
        <v>1500</v>
      </c>
      <c r="V79" s="115">
        <f t="shared" si="9"/>
        <v>3.9750000000000001</v>
      </c>
      <c r="W79" s="74" t="s">
        <v>81</v>
      </c>
      <c r="X79" s="74">
        <v>3</v>
      </c>
      <c r="Y79" s="74">
        <v>5</v>
      </c>
      <c r="Z79" s="68"/>
    </row>
    <row r="80" spans="1:27" x14ac:dyDescent="0.25">
      <c r="A80" s="68">
        <v>229235000</v>
      </c>
      <c r="F80" s="117"/>
      <c r="G80" s="74" t="s">
        <v>105</v>
      </c>
      <c r="H80" s="110">
        <v>229235</v>
      </c>
      <c r="I80" s="111">
        <v>1</v>
      </c>
      <c r="J80" s="119">
        <v>5</v>
      </c>
      <c r="L80" s="114">
        <v>17.87</v>
      </c>
      <c r="M80" s="120" t="s">
        <v>95</v>
      </c>
      <c r="N80" s="74" t="s">
        <v>79</v>
      </c>
      <c r="O80" s="120" t="s">
        <v>95</v>
      </c>
      <c r="P80" s="120" t="s">
        <v>95</v>
      </c>
      <c r="Q80" s="118" t="s">
        <v>95</v>
      </c>
      <c r="R80" s="120" t="s">
        <v>95</v>
      </c>
      <c r="S80" s="120" t="s">
        <v>95</v>
      </c>
      <c r="T80" s="74" t="s">
        <v>85</v>
      </c>
      <c r="U80" s="110">
        <v>250</v>
      </c>
      <c r="V80" s="115">
        <f t="shared" si="9"/>
        <v>4.4675000000000002</v>
      </c>
      <c r="W80" s="74" t="s">
        <v>81</v>
      </c>
      <c r="X80" s="74">
        <v>3</v>
      </c>
      <c r="Y80" s="74">
        <v>5</v>
      </c>
      <c r="Z80" s="68"/>
    </row>
    <row r="81" spans="1:26" x14ac:dyDescent="0.25">
      <c r="A81" s="68">
        <v>229236000</v>
      </c>
      <c r="F81" s="117"/>
      <c r="G81" s="74" t="s">
        <v>105</v>
      </c>
      <c r="H81" s="110">
        <v>229236</v>
      </c>
      <c r="I81" s="111">
        <v>1</v>
      </c>
      <c r="J81" s="119">
        <v>5</v>
      </c>
      <c r="L81" s="114">
        <v>21.28</v>
      </c>
      <c r="M81" s="120" t="s">
        <v>95</v>
      </c>
      <c r="N81" s="74" t="s">
        <v>79</v>
      </c>
      <c r="O81" s="120" t="s">
        <v>95</v>
      </c>
      <c r="P81" s="120" t="s">
        <v>95</v>
      </c>
      <c r="Q81" s="118" t="s">
        <v>95</v>
      </c>
      <c r="R81" s="120" t="s">
        <v>95</v>
      </c>
      <c r="S81" s="120" t="s">
        <v>95</v>
      </c>
      <c r="T81" s="74" t="s">
        <v>85</v>
      </c>
      <c r="U81" s="110">
        <v>250</v>
      </c>
      <c r="V81" s="115">
        <f t="shared" si="9"/>
        <v>5.32</v>
      </c>
      <c r="W81" s="74" t="s">
        <v>81</v>
      </c>
      <c r="X81" s="74">
        <v>3</v>
      </c>
      <c r="Y81" s="74">
        <v>5</v>
      </c>
      <c r="Z81" s="68"/>
    </row>
    <row r="82" spans="1:26" x14ac:dyDescent="0.25">
      <c r="A82" s="68">
        <v>234209000</v>
      </c>
      <c r="F82" s="117"/>
      <c r="G82" s="74" t="s">
        <v>104</v>
      </c>
      <c r="H82" s="110" t="s">
        <v>106</v>
      </c>
      <c r="I82" s="111">
        <v>1</v>
      </c>
      <c r="J82" s="119">
        <v>30</v>
      </c>
      <c r="L82" s="114">
        <v>141.25</v>
      </c>
      <c r="M82" s="120" t="s">
        <v>107</v>
      </c>
      <c r="N82" s="74" t="s">
        <v>79</v>
      </c>
      <c r="O82" s="120" t="s">
        <v>95</v>
      </c>
      <c r="P82" s="120" t="s">
        <v>95</v>
      </c>
      <c r="Q82" s="118" t="s">
        <v>95</v>
      </c>
      <c r="R82" s="120" t="s">
        <v>95</v>
      </c>
      <c r="S82" s="120" t="s">
        <v>95</v>
      </c>
      <c r="T82" s="74" t="s">
        <v>85</v>
      </c>
      <c r="U82" s="110">
        <v>50</v>
      </c>
      <c r="V82" s="115">
        <f t="shared" si="9"/>
        <v>7.0625</v>
      </c>
      <c r="W82" s="74" t="s">
        <v>81</v>
      </c>
      <c r="X82" s="74">
        <v>3</v>
      </c>
      <c r="Y82" s="74">
        <v>5</v>
      </c>
      <c r="Z82" s="68"/>
    </row>
    <row r="83" spans="1:26" x14ac:dyDescent="0.25">
      <c r="A83" s="68">
        <v>234211000</v>
      </c>
      <c r="F83" s="117"/>
      <c r="G83" s="74" t="s">
        <v>104</v>
      </c>
      <c r="H83" s="110" t="s">
        <v>106</v>
      </c>
      <c r="I83" s="111">
        <v>1</v>
      </c>
      <c r="J83" s="119">
        <v>30</v>
      </c>
      <c r="L83" s="114">
        <v>92.45</v>
      </c>
      <c r="M83" s="120" t="s">
        <v>107</v>
      </c>
      <c r="N83" s="74" t="s">
        <v>79</v>
      </c>
      <c r="O83" s="120" t="s">
        <v>95</v>
      </c>
      <c r="P83" s="120" t="s">
        <v>95</v>
      </c>
      <c r="Q83" s="118" t="s">
        <v>95</v>
      </c>
      <c r="R83" s="120" t="s">
        <v>95</v>
      </c>
      <c r="S83" s="120" t="s">
        <v>95</v>
      </c>
      <c r="T83" s="74" t="s">
        <v>85</v>
      </c>
      <c r="U83" s="110">
        <v>120</v>
      </c>
      <c r="V83" s="115">
        <f t="shared" si="9"/>
        <v>11.093999999999999</v>
      </c>
      <c r="W83" s="74" t="s">
        <v>81</v>
      </c>
      <c r="X83" s="74">
        <v>3</v>
      </c>
      <c r="Y83" s="74">
        <v>5</v>
      </c>
      <c r="Z83" s="68"/>
    </row>
    <row r="84" spans="1:26" x14ac:dyDescent="0.25">
      <c r="A84" s="68">
        <v>234726000</v>
      </c>
      <c r="C84" s="74">
        <v>29.992000000000001</v>
      </c>
      <c r="F84" s="117"/>
      <c r="G84" s="74" t="s">
        <v>105</v>
      </c>
      <c r="H84" s="110" t="s">
        <v>108</v>
      </c>
      <c r="I84" s="111">
        <v>1</v>
      </c>
      <c r="J84" s="119">
        <v>5</v>
      </c>
      <c r="L84" s="121">
        <f>C84</f>
        <v>29.992000000000001</v>
      </c>
      <c r="M84" s="120" t="s">
        <v>95</v>
      </c>
      <c r="N84" s="74" t="s">
        <v>79</v>
      </c>
      <c r="O84" s="120" t="s">
        <v>95</v>
      </c>
      <c r="P84" s="120" t="s">
        <v>95</v>
      </c>
      <c r="Q84" s="118" t="s">
        <v>95</v>
      </c>
      <c r="R84" s="120" t="s">
        <v>95</v>
      </c>
      <c r="S84" s="120" t="s">
        <v>95</v>
      </c>
      <c r="T84" s="74" t="s">
        <v>85</v>
      </c>
      <c r="U84" s="110">
        <v>150</v>
      </c>
      <c r="V84" s="88">
        <f t="shared" si="9"/>
        <v>4.4988000000000001</v>
      </c>
      <c r="W84" s="74" t="s">
        <v>81</v>
      </c>
      <c r="X84" s="74">
        <v>3</v>
      </c>
      <c r="Y84" s="74">
        <v>5</v>
      </c>
      <c r="Z84" s="74">
        <v>29.992000000000001</v>
      </c>
    </row>
    <row r="85" spans="1:26" x14ac:dyDescent="0.25">
      <c r="A85" s="68">
        <v>236656000</v>
      </c>
      <c r="F85" s="117"/>
      <c r="G85" s="74" t="s">
        <v>104</v>
      </c>
      <c r="H85" s="110" t="s">
        <v>106</v>
      </c>
      <c r="I85" s="111">
        <v>1</v>
      </c>
      <c r="J85" s="119">
        <v>30</v>
      </c>
      <c r="L85" s="114">
        <v>123.43</v>
      </c>
      <c r="M85" s="120" t="s">
        <v>107</v>
      </c>
      <c r="N85" s="74" t="s">
        <v>79</v>
      </c>
      <c r="O85" s="120" t="s">
        <v>95</v>
      </c>
      <c r="P85" s="120" t="s">
        <v>95</v>
      </c>
      <c r="Q85" s="118" t="s">
        <v>95</v>
      </c>
      <c r="R85" s="120" t="s">
        <v>95</v>
      </c>
      <c r="S85" s="120" t="s">
        <v>95</v>
      </c>
      <c r="T85" s="74" t="s">
        <v>85</v>
      </c>
      <c r="U85" s="110">
        <v>70</v>
      </c>
      <c r="V85" s="115">
        <f t="shared" si="9"/>
        <v>8.6401000000000003</v>
      </c>
      <c r="W85" s="74" t="s">
        <v>81</v>
      </c>
      <c r="X85" s="74">
        <v>3</v>
      </c>
      <c r="Y85" s="74">
        <v>5</v>
      </c>
      <c r="Z85" s="68"/>
    </row>
    <row r="86" spans="1:26" x14ac:dyDescent="0.25">
      <c r="A86" s="68">
        <v>236658000</v>
      </c>
      <c r="F86" s="117"/>
      <c r="G86" s="74" t="s">
        <v>104</v>
      </c>
      <c r="H86" s="110" t="s">
        <v>106</v>
      </c>
      <c r="I86" s="111">
        <v>1</v>
      </c>
      <c r="J86" s="119">
        <v>30</v>
      </c>
      <c r="L86" s="114">
        <v>91.6</v>
      </c>
      <c r="M86" s="120" t="s">
        <v>107</v>
      </c>
      <c r="N86" s="74" t="s">
        <v>79</v>
      </c>
      <c r="O86" s="120" t="s">
        <v>95</v>
      </c>
      <c r="P86" s="120" t="s">
        <v>95</v>
      </c>
      <c r="Q86" s="118" t="s">
        <v>95</v>
      </c>
      <c r="R86" s="120" t="s">
        <v>95</v>
      </c>
      <c r="S86" s="120" t="s">
        <v>95</v>
      </c>
      <c r="T86" s="74" t="s">
        <v>85</v>
      </c>
      <c r="U86" s="110">
        <v>120</v>
      </c>
      <c r="V86" s="115">
        <f t="shared" si="9"/>
        <v>10.992000000000001</v>
      </c>
      <c r="W86" s="74" t="s">
        <v>81</v>
      </c>
      <c r="X86" s="74">
        <v>3</v>
      </c>
      <c r="Y86" s="74">
        <v>5</v>
      </c>
      <c r="Z86" s="68"/>
    </row>
    <row r="87" spans="1:26" x14ac:dyDescent="0.25">
      <c r="A87" s="76">
        <v>247789000</v>
      </c>
      <c r="F87" s="117"/>
      <c r="G87" s="74" t="s">
        <v>104</v>
      </c>
      <c r="I87" s="111">
        <v>1</v>
      </c>
      <c r="J87" s="119">
        <v>30</v>
      </c>
      <c r="L87" s="114">
        <v>132.19999999999999</v>
      </c>
      <c r="M87" s="120"/>
      <c r="N87" s="74" t="s">
        <v>79</v>
      </c>
      <c r="O87" s="120" t="s">
        <v>95</v>
      </c>
      <c r="P87" s="120" t="s">
        <v>95</v>
      </c>
      <c r="Q87" s="118" t="s">
        <v>95</v>
      </c>
      <c r="R87" s="120" t="s">
        <v>95</v>
      </c>
      <c r="S87" s="120" t="s">
        <v>95</v>
      </c>
      <c r="T87" s="74" t="s">
        <v>85</v>
      </c>
      <c r="U87" s="110">
        <v>60</v>
      </c>
      <c r="V87" s="115">
        <f t="shared" si="9"/>
        <v>7.9319999999999995</v>
      </c>
      <c r="W87" s="74" t="s">
        <v>81</v>
      </c>
      <c r="X87" s="74">
        <v>3</v>
      </c>
      <c r="Y87" s="74">
        <v>5</v>
      </c>
      <c r="Z87" s="68"/>
    </row>
    <row r="88" spans="1:26" x14ac:dyDescent="0.25">
      <c r="A88" s="76">
        <v>247794000</v>
      </c>
      <c r="F88" s="117"/>
      <c r="G88" s="74" t="s">
        <v>104</v>
      </c>
      <c r="I88" s="111">
        <v>1</v>
      </c>
      <c r="J88" s="119">
        <v>30</v>
      </c>
      <c r="L88" s="114">
        <v>132.19999999999999</v>
      </c>
      <c r="M88" s="120"/>
      <c r="N88" s="74" t="s">
        <v>79</v>
      </c>
      <c r="O88" s="120" t="s">
        <v>95</v>
      </c>
      <c r="P88" s="120" t="s">
        <v>95</v>
      </c>
      <c r="Q88" s="118" t="s">
        <v>95</v>
      </c>
      <c r="R88" s="120" t="s">
        <v>95</v>
      </c>
      <c r="S88" s="120" t="s">
        <v>95</v>
      </c>
      <c r="T88" s="74" t="s">
        <v>85</v>
      </c>
      <c r="U88" s="110">
        <v>60</v>
      </c>
      <c r="V88" s="115">
        <f t="shared" si="9"/>
        <v>7.9319999999999995</v>
      </c>
      <c r="W88" s="74" t="s">
        <v>81</v>
      </c>
      <c r="X88" s="74">
        <v>3</v>
      </c>
      <c r="Y88" s="74">
        <v>5</v>
      </c>
      <c r="Z88" s="68"/>
    </row>
    <row r="89" spans="1:26" x14ac:dyDescent="0.25">
      <c r="A89" s="76">
        <v>247796000</v>
      </c>
      <c r="F89" s="117"/>
      <c r="G89" s="74" t="s">
        <v>104</v>
      </c>
      <c r="I89" s="111">
        <v>1</v>
      </c>
      <c r="J89" s="119">
        <v>30</v>
      </c>
      <c r="L89" s="114">
        <v>107.3</v>
      </c>
      <c r="M89" s="120"/>
      <c r="N89" s="74" t="s">
        <v>79</v>
      </c>
      <c r="O89" s="120" t="s">
        <v>95</v>
      </c>
      <c r="P89" s="120" t="s">
        <v>95</v>
      </c>
      <c r="Q89" s="118" t="s">
        <v>95</v>
      </c>
      <c r="R89" s="120" t="s">
        <v>95</v>
      </c>
      <c r="S89" s="120" t="s">
        <v>95</v>
      </c>
      <c r="T89" s="74" t="s">
        <v>85</v>
      </c>
      <c r="U89" s="110">
        <v>60</v>
      </c>
      <c r="V89" s="115">
        <f t="shared" si="9"/>
        <v>6.4379999999999997</v>
      </c>
      <c r="W89" s="74" t="s">
        <v>81</v>
      </c>
      <c r="X89" s="74">
        <v>3</v>
      </c>
      <c r="Y89" s="74">
        <v>5</v>
      </c>
      <c r="Z89" s="68"/>
    </row>
    <row r="90" spans="1:26" x14ac:dyDescent="0.25">
      <c r="A90" s="76">
        <v>247799000</v>
      </c>
      <c r="F90" s="117"/>
      <c r="G90" s="74" t="s">
        <v>104</v>
      </c>
      <c r="I90" s="111">
        <v>1</v>
      </c>
      <c r="J90" s="119">
        <v>30</v>
      </c>
      <c r="L90" s="114">
        <v>107.3</v>
      </c>
      <c r="M90" s="120"/>
      <c r="N90" s="74" t="s">
        <v>79</v>
      </c>
      <c r="O90" s="120" t="s">
        <v>95</v>
      </c>
      <c r="P90" s="120" t="s">
        <v>95</v>
      </c>
      <c r="Q90" s="118" t="s">
        <v>95</v>
      </c>
      <c r="R90" s="120" t="s">
        <v>95</v>
      </c>
      <c r="S90" s="120" t="s">
        <v>95</v>
      </c>
      <c r="T90" s="74" t="s">
        <v>85</v>
      </c>
      <c r="U90" s="110">
        <v>60</v>
      </c>
      <c r="V90" s="115">
        <f t="shared" si="9"/>
        <v>6.4379999999999997</v>
      </c>
      <c r="W90" s="74" t="s">
        <v>81</v>
      </c>
      <c r="X90" s="74">
        <v>3</v>
      </c>
      <c r="Y90" s="74">
        <v>5</v>
      </c>
      <c r="Z90" s="68"/>
    </row>
    <row r="91" spans="1:26" x14ac:dyDescent="0.25">
      <c r="A91" s="76">
        <v>247807000</v>
      </c>
      <c r="F91" s="117"/>
      <c r="G91" s="74" t="s">
        <v>105</v>
      </c>
      <c r="I91" s="111">
        <v>1</v>
      </c>
      <c r="J91" s="119">
        <v>5</v>
      </c>
      <c r="L91" s="114">
        <v>43.2</v>
      </c>
      <c r="M91" s="120"/>
      <c r="N91" s="74" t="s">
        <v>79</v>
      </c>
      <c r="O91" s="120" t="s">
        <v>95</v>
      </c>
      <c r="P91" s="120" t="s">
        <v>95</v>
      </c>
      <c r="Q91" s="118" t="s">
        <v>95</v>
      </c>
      <c r="R91" s="120" t="s">
        <v>95</v>
      </c>
      <c r="S91" s="120" t="s">
        <v>95</v>
      </c>
      <c r="T91" s="74" t="s">
        <v>85</v>
      </c>
      <c r="U91" s="76">
        <v>100</v>
      </c>
      <c r="V91" s="115">
        <f t="shared" si="9"/>
        <v>4.32</v>
      </c>
      <c r="W91" s="74" t="s">
        <v>81</v>
      </c>
      <c r="X91" s="74">
        <v>3</v>
      </c>
      <c r="Y91" s="74">
        <v>5</v>
      </c>
      <c r="Z91" s="68"/>
    </row>
    <row r="92" spans="1:26" x14ac:dyDescent="0.25">
      <c r="A92" s="76">
        <v>247809000</v>
      </c>
      <c r="F92" s="117"/>
      <c r="G92" s="74" t="s">
        <v>105</v>
      </c>
      <c r="I92" s="111">
        <v>1</v>
      </c>
      <c r="J92" s="119">
        <v>5</v>
      </c>
      <c r="L92" s="114">
        <v>42.7</v>
      </c>
      <c r="M92" s="120"/>
      <c r="N92" s="74" t="s">
        <v>79</v>
      </c>
      <c r="O92" s="120" t="s">
        <v>95</v>
      </c>
      <c r="P92" s="120" t="s">
        <v>95</v>
      </c>
      <c r="Q92" s="118" t="s">
        <v>95</v>
      </c>
      <c r="R92" s="120" t="s">
        <v>95</v>
      </c>
      <c r="S92" s="120" t="s">
        <v>95</v>
      </c>
      <c r="T92" s="74" t="s">
        <v>85</v>
      </c>
      <c r="U92" s="76">
        <v>80</v>
      </c>
      <c r="V92" s="115">
        <f t="shared" si="9"/>
        <v>3.4159999999999999</v>
      </c>
      <c r="W92" s="74" t="s">
        <v>81</v>
      </c>
      <c r="X92" s="74">
        <v>3</v>
      </c>
      <c r="Y92" s="74">
        <v>5</v>
      </c>
      <c r="Z92" s="68"/>
    </row>
    <row r="93" spans="1:26" x14ac:dyDescent="0.25">
      <c r="A93" s="76">
        <v>247811000</v>
      </c>
      <c r="F93" s="117"/>
      <c r="G93" s="74" t="s">
        <v>105</v>
      </c>
      <c r="I93" s="111">
        <v>1</v>
      </c>
      <c r="J93" s="119">
        <v>15</v>
      </c>
      <c r="L93" s="114">
        <v>22.3</v>
      </c>
      <c r="M93" s="120"/>
      <c r="N93" s="74" t="s">
        <v>79</v>
      </c>
      <c r="O93" s="120" t="s">
        <v>95</v>
      </c>
      <c r="P93" s="120" t="s">
        <v>95</v>
      </c>
      <c r="Q93" s="118" t="s">
        <v>95</v>
      </c>
      <c r="R93" s="120" t="s">
        <v>95</v>
      </c>
      <c r="S93" s="120" t="s">
        <v>95</v>
      </c>
      <c r="T93" s="74" t="s">
        <v>85</v>
      </c>
      <c r="U93" s="76">
        <v>240</v>
      </c>
      <c r="V93" s="115">
        <f t="shared" si="9"/>
        <v>5.3520000000000003</v>
      </c>
      <c r="W93" s="74" t="s">
        <v>81</v>
      </c>
      <c r="X93" s="74">
        <v>3</v>
      </c>
      <c r="Y93" s="74">
        <v>5</v>
      </c>
      <c r="Z93" s="68"/>
    </row>
    <row r="94" spans="1:26" x14ac:dyDescent="0.25">
      <c r="A94" s="76">
        <v>249240000</v>
      </c>
      <c r="F94" s="117"/>
      <c r="G94" s="74" t="s">
        <v>105</v>
      </c>
      <c r="I94" s="111">
        <v>1</v>
      </c>
      <c r="J94" s="119">
        <v>5</v>
      </c>
      <c r="L94" s="114">
        <v>8.3000000000000007</v>
      </c>
      <c r="M94" s="120"/>
      <c r="N94" s="74" t="s">
        <v>79</v>
      </c>
      <c r="O94" s="120" t="s">
        <v>95</v>
      </c>
      <c r="P94" s="120" t="s">
        <v>95</v>
      </c>
      <c r="Q94" s="118" t="s">
        <v>95</v>
      </c>
      <c r="R94" s="120" t="s">
        <v>95</v>
      </c>
      <c r="S94" s="120" t="s">
        <v>95</v>
      </c>
      <c r="T94" s="74" t="s">
        <v>85</v>
      </c>
      <c r="U94" s="76">
        <v>150</v>
      </c>
      <c r="V94" s="115">
        <f t="shared" si="9"/>
        <v>1.2450000000000001</v>
      </c>
      <c r="W94" s="74" t="s">
        <v>81</v>
      </c>
      <c r="X94" s="74">
        <v>3</v>
      </c>
      <c r="Y94" s="74">
        <v>5</v>
      </c>
      <c r="Z94" s="68"/>
    </row>
    <row r="95" spans="1:26" x14ac:dyDescent="0.25">
      <c r="A95" s="76">
        <v>249242000</v>
      </c>
      <c r="F95" s="117"/>
      <c r="G95" s="74" t="s">
        <v>105</v>
      </c>
      <c r="I95" s="111">
        <v>1</v>
      </c>
      <c r="J95" s="119">
        <v>15</v>
      </c>
      <c r="L95" s="114">
        <v>24.7</v>
      </c>
      <c r="M95" s="120"/>
      <c r="N95" s="74" t="s">
        <v>79</v>
      </c>
      <c r="O95" s="120" t="s">
        <v>95</v>
      </c>
      <c r="P95" s="120" t="s">
        <v>95</v>
      </c>
      <c r="Q95" s="118" t="s">
        <v>95</v>
      </c>
      <c r="R95" s="120" t="s">
        <v>95</v>
      </c>
      <c r="S95" s="120" t="s">
        <v>95</v>
      </c>
      <c r="T95" s="74" t="s">
        <v>85</v>
      </c>
      <c r="U95" s="76">
        <v>250</v>
      </c>
      <c r="V95" s="115">
        <f t="shared" si="9"/>
        <v>6.1749999999999998</v>
      </c>
      <c r="W95" s="74" t="s">
        <v>81</v>
      </c>
      <c r="X95" s="74">
        <v>3</v>
      </c>
      <c r="Y95" s="74">
        <v>5</v>
      </c>
      <c r="Z95" s="68"/>
    </row>
    <row r="96" spans="1:26" x14ac:dyDescent="0.25">
      <c r="F96" s="117"/>
      <c r="J96" s="119"/>
      <c r="M96" s="120"/>
      <c r="O96" s="120"/>
      <c r="P96" s="120"/>
      <c r="Q96" s="118"/>
      <c r="R96" s="120"/>
      <c r="S96" s="120"/>
      <c r="Z96" s="68"/>
    </row>
    <row r="97" spans="1:26" x14ac:dyDescent="0.25">
      <c r="F97" s="117"/>
      <c r="J97" s="119"/>
      <c r="M97" s="120"/>
      <c r="O97" s="120"/>
      <c r="P97" s="120"/>
      <c r="Q97" s="118"/>
      <c r="R97" s="120"/>
      <c r="S97" s="120"/>
      <c r="Z97" s="68"/>
    </row>
    <row r="98" spans="1:26" x14ac:dyDescent="0.25">
      <c r="A98" s="66" t="s">
        <v>109</v>
      </c>
      <c r="B98" s="66"/>
      <c r="C98" s="66"/>
      <c r="D98" s="66"/>
      <c r="E98" s="66"/>
      <c r="F98" s="66"/>
      <c r="J98" s="119"/>
      <c r="Z98" s="66"/>
    </row>
    <row r="99" spans="1:26" x14ac:dyDescent="0.25">
      <c r="A99" s="68" t="s">
        <v>110</v>
      </c>
      <c r="F99" s="117"/>
      <c r="G99" s="74" t="s">
        <v>111</v>
      </c>
      <c r="H99" s="110" t="s">
        <v>112</v>
      </c>
      <c r="I99" s="111">
        <v>1</v>
      </c>
      <c r="J99" s="119">
        <v>12</v>
      </c>
      <c r="L99" s="114">
        <v>5.7</v>
      </c>
      <c r="M99" s="120" t="s">
        <v>95</v>
      </c>
      <c r="N99" s="74" t="s">
        <v>79</v>
      </c>
      <c r="O99" s="120" t="s">
        <v>95</v>
      </c>
      <c r="P99" s="74" t="s">
        <v>113</v>
      </c>
      <c r="Q99" s="110">
        <v>300</v>
      </c>
      <c r="R99" s="115">
        <f>L99*Q99/1000</f>
        <v>1.71</v>
      </c>
      <c r="S99" s="74">
        <v>4</v>
      </c>
      <c r="T99" s="74" t="s">
        <v>80</v>
      </c>
      <c r="U99" s="110">
        <v>1200</v>
      </c>
      <c r="V99" s="115">
        <f>L99*U99/1000</f>
        <v>6.84</v>
      </c>
      <c r="W99" s="74" t="s">
        <v>114</v>
      </c>
      <c r="X99" s="74">
        <v>3</v>
      </c>
      <c r="Y99" s="74">
        <v>4</v>
      </c>
      <c r="Z99" s="68"/>
    </row>
    <row r="100" spans="1:26" x14ac:dyDescent="0.25">
      <c r="A100" s="68" t="s">
        <v>115</v>
      </c>
      <c r="F100" s="117"/>
      <c r="G100" s="74" t="s">
        <v>111</v>
      </c>
      <c r="H100" s="110" t="s">
        <v>112</v>
      </c>
      <c r="I100" s="111">
        <v>1</v>
      </c>
      <c r="J100" s="119">
        <v>12</v>
      </c>
      <c r="L100" s="114">
        <v>6.157</v>
      </c>
      <c r="M100" s="120" t="s">
        <v>95</v>
      </c>
      <c r="N100" s="74" t="s">
        <v>79</v>
      </c>
      <c r="O100" s="120" t="s">
        <v>95</v>
      </c>
      <c r="P100" s="74" t="s">
        <v>113</v>
      </c>
      <c r="Q100" s="110">
        <v>300</v>
      </c>
      <c r="R100" s="115">
        <f t="shared" ref="R100:R111" si="10">L100*Q100/1000</f>
        <v>1.8471</v>
      </c>
      <c r="S100" s="74">
        <v>4</v>
      </c>
      <c r="T100" s="74" t="s">
        <v>80</v>
      </c>
      <c r="U100" s="110">
        <v>1200</v>
      </c>
      <c r="V100" s="115">
        <f t="shared" ref="V100:V111" si="11">L100*U100/1000</f>
        <v>7.3883999999999999</v>
      </c>
      <c r="W100" s="74" t="s">
        <v>114</v>
      </c>
      <c r="X100" s="74">
        <v>3</v>
      </c>
      <c r="Y100" s="74">
        <v>4</v>
      </c>
      <c r="Z100" s="68"/>
    </row>
    <row r="101" spans="1:26" x14ac:dyDescent="0.25">
      <c r="A101" s="68">
        <v>131950000</v>
      </c>
      <c r="F101" s="117"/>
      <c r="G101" s="74" t="s">
        <v>111</v>
      </c>
      <c r="H101" s="110" t="s">
        <v>112</v>
      </c>
      <c r="I101" s="111">
        <v>1</v>
      </c>
      <c r="J101" s="119">
        <v>12</v>
      </c>
      <c r="L101" s="114">
        <v>5.69</v>
      </c>
      <c r="M101" s="120" t="s">
        <v>95</v>
      </c>
      <c r="N101" s="74" t="s">
        <v>79</v>
      </c>
      <c r="O101" s="120" t="s">
        <v>95</v>
      </c>
      <c r="P101" s="74" t="s">
        <v>113</v>
      </c>
      <c r="Q101" s="110">
        <v>300</v>
      </c>
      <c r="R101" s="115">
        <f t="shared" si="10"/>
        <v>1.7070000000000003</v>
      </c>
      <c r="S101" s="74">
        <v>4</v>
      </c>
      <c r="T101" s="74" t="s">
        <v>80</v>
      </c>
      <c r="U101" s="110">
        <v>1200</v>
      </c>
      <c r="V101" s="115">
        <f t="shared" si="11"/>
        <v>6.8280000000000012</v>
      </c>
      <c r="W101" s="74" t="s">
        <v>114</v>
      </c>
      <c r="X101" s="74">
        <v>3</v>
      </c>
      <c r="Y101" s="74">
        <v>4</v>
      </c>
      <c r="Z101" s="68"/>
    </row>
    <row r="102" spans="1:26" x14ac:dyDescent="0.25">
      <c r="A102" s="68">
        <v>131951000</v>
      </c>
      <c r="F102" s="117"/>
      <c r="G102" s="74" t="s">
        <v>111</v>
      </c>
      <c r="H102" s="110" t="s">
        <v>112</v>
      </c>
      <c r="I102" s="111">
        <v>1</v>
      </c>
      <c r="J102" s="119">
        <v>12</v>
      </c>
      <c r="L102" s="114">
        <v>5.4320000000000004</v>
      </c>
      <c r="M102" s="120" t="s">
        <v>95</v>
      </c>
      <c r="N102" s="74" t="s">
        <v>79</v>
      </c>
      <c r="O102" s="120" t="s">
        <v>95</v>
      </c>
      <c r="P102" s="74" t="s">
        <v>113</v>
      </c>
      <c r="Q102" s="110">
        <v>300</v>
      </c>
      <c r="R102" s="115">
        <f t="shared" si="10"/>
        <v>1.6296000000000002</v>
      </c>
      <c r="S102" s="74">
        <v>4</v>
      </c>
      <c r="T102" s="74" t="s">
        <v>80</v>
      </c>
      <c r="U102" s="110">
        <v>1200</v>
      </c>
      <c r="V102" s="115">
        <f t="shared" si="11"/>
        <v>6.5184000000000006</v>
      </c>
      <c r="W102" s="74" t="s">
        <v>114</v>
      </c>
      <c r="X102" s="74">
        <v>3</v>
      </c>
      <c r="Y102" s="74">
        <v>4</v>
      </c>
      <c r="Z102" s="68"/>
    </row>
    <row r="103" spans="1:26" x14ac:dyDescent="0.25">
      <c r="A103" s="68">
        <v>131951001</v>
      </c>
      <c r="F103" s="117"/>
      <c r="G103" s="74" t="s">
        <v>111</v>
      </c>
      <c r="H103" s="110" t="s">
        <v>112</v>
      </c>
      <c r="I103" s="111">
        <v>1</v>
      </c>
      <c r="J103" s="119">
        <v>12</v>
      </c>
      <c r="L103" s="114">
        <v>5.4320000000000004</v>
      </c>
      <c r="M103" s="120" t="s">
        <v>95</v>
      </c>
      <c r="N103" s="74" t="s">
        <v>79</v>
      </c>
      <c r="O103" s="120" t="s">
        <v>95</v>
      </c>
      <c r="P103" s="74" t="s">
        <v>113</v>
      </c>
      <c r="Q103" s="110">
        <v>300</v>
      </c>
      <c r="R103" s="115">
        <f t="shared" si="10"/>
        <v>1.6296000000000002</v>
      </c>
      <c r="S103" s="74">
        <v>4</v>
      </c>
      <c r="T103" s="74" t="s">
        <v>80</v>
      </c>
      <c r="U103" s="110">
        <v>1200</v>
      </c>
      <c r="V103" s="115">
        <f t="shared" si="11"/>
        <v>6.5184000000000006</v>
      </c>
      <c r="W103" s="74" t="s">
        <v>114</v>
      </c>
      <c r="X103" s="74">
        <v>3</v>
      </c>
      <c r="Y103" s="74">
        <v>4</v>
      </c>
      <c r="Z103" s="68"/>
    </row>
    <row r="104" spans="1:26" x14ac:dyDescent="0.25">
      <c r="A104" s="68">
        <v>132314002</v>
      </c>
      <c r="F104" s="117"/>
      <c r="G104" s="74" t="s">
        <v>116</v>
      </c>
      <c r="H104" s="110" t="s">
        <v>117</v>
      </c>
      <c r="I104" s="111">
        <v>1</v>
      </c>
      <c r="J104" s="119">
        <v>14</v>
      </c>
      <c r="L104" s="114">
        <v>5.9050000000000002</v>
      </c>
      <c r="M104" s="120" t="s">
        <v>95</v>
      </c>
      <c r="N104" s="74" t="s">
        <v>79</v>
      </c>
      <c r="O104" s="120" t="s">
        <v>95</v>
      </c>
      <c r="P104" s="74" t="s">
        <v>113</v>
      </c>
      <c r="Q104" s="110">
        <v>300</v>
      </c>
      <c r="R104" s="115">
        <f t="shared" si="10"/>
        <v>1.7715000000000001</v>
      </c>
      <c r="S104" s="74">
        <v>4</v>
      </c>
      <c r="T104" s="74" t="s">
        <v>80</v>
      </c>
      <c r="U104" s="110">
        <v>1200</v>
      </c>
      <c r="V104" s="115">
        <f t="shared" si="11"/>
        <v>7.0860000000000003</v>
      </c>
      <c r="W104" s="74" t="s">
        <v>114</v>
      </c>
      <c r="X104" s="74">
        <v>3</v>
      </c>
      <c r="Y104" s="74">
        <v>4</v>
      </c>
      <c r="Z104" s="68"/>
    </row>
    <row r="105" spans="1:26" x14ac:dyDescent="0.25">
      <c r="A105" s="68">
        <v>203589000</v>
      </c>
      <c r="F105" s="117"/>
      <c r="G105" s="74" t="s">
        <v>116</v>
      </c>
      <c r="H105" s="110" t="s">
        <v>117</v>
      </c>
      <c r="I105" s="111">
        <v>1</v>
      </c>
      <c r="J105" s="119">
        <v>20</v>
      </c>
      <c r="L105" s="114">
        <v>7.2229999999999999</v>
      </c>
      <c r="M105" s="120" t="s">
        <v>95</v>
      </c>
      <c r="N105" s="74" t="s">
        <v>79</v>
      </c>
      <c r="O105" s="120" t="s">
        <v>95</v>
      </c>
      <c r="P105" s="74" t="s">
        <v>113</v>
      </c>
      <c r="Q105" s="110">
        <v>250</v>
      </c>
      <c r="R105" s="115">
        <f t="shared" si="10"/>
        <v>1.80575</v>
      </c>
      <c r="S105" s="74">
        <v>4</v>
      </c>
      <c r="T105" s="74" t="s">
        <v>80</v>
      </c>
      <c r="U105" s="110">
        <v>1000</v>
      </c>
      <c r="V105" s="115">
        <f t="shared" si="11"/>
        <v>7.2229999999999999</v>
      </c>
      <c r="W105" s="74" t="s">
        <v>114</v>
      </c>
      <c r="X105" s="74">
        <v>3</v>
      </c>
      <c r="Y105" s="74">
        <v>4</v>
      </c>
      <c r="Z105" s="68"/>
    </row>
    <row r="106" spans="1:26" x14ac:dyDescent="0.25">
      <c r="A106" s="68">
        <v>203589001</v>
      </c>
      <c r="F106" s="117"/>
      <c r="G106" s="74" t="s">
        <v>116</v>
      </c>
      <c r="H106" s="110" t="s">
        <v>117</v>
      </c>
      <c r="I106" s="111">
        <v>1</v>
      </c>
      <c r="J106" s="119">
        <v>20</v>
      </c>
      <c r="L106" s="114">
        <v>7.2229999999999999</v>
      </c>
      <c r="M106" s="120" t="s">
        <v>95</v>
      </c>
      <c r="N106" s="74" t="s">
        <v>79</v>
      </c>
      <c r="O106" s="120" t="s">
        <v>95</v>
      </c>
      <c r="P106" s="74" t="s">
        <v>113</v>
      </c>
      <c r="Q106" s="110">
        <v>250</v>
      </c>
      <c r="R106" s="115">
        <f t="shared" si="10"/>
        <v>1.80575</v>
      </c>
      <c r="S106" s="74">
        <v>4</v>
      </c>
      <c r="T106" s="74" t="s">
        <v>80</v>
      </c>
      <c r="U106" s="110">
        <v>1000</v>
      </c>
      <c r="V106" s="115">
        <f t="shared" si="11"/>
        <v>7.2229999999999999</v>
      </c>
      <c r="W106" s="74" t="s">
        <v>114</v>
      </c>
      <c r="X106" s="74">
        <v>3</v>
      </c>
      <c r="Y106" s="74">
        <v>4</v>
      </c>
      <c r="Z106" s="68"/>
    </row>
    <row r="107" spans="1:26" x14ac:dyDescent="0.25">
      <c r="A107" s="68">
        <v>222246000</v>
      </c>
      <c r="F107" s="117"/>
      <c r="G107" s="74" t="s">
        <v>116</v>
      </c>
      <c r="H107" s="110" t="s">
        <v>117</v>
      </c>
      <c r="I107" s="111">
        <v>1</v>
      </c>
      <c r="J107" s="119">
        <v>16</v>
      </c>
      <c r="L107" s="114">
        <v>6.5289999999999999</v>
      </c>
      <c r="M107" s="120" t="s">
        <v>95</v>
      </c>
      <c r="N107" s="74" t="s">
        <v>79</v>
      </c>
      <c r="O107" s="120" t="s">
        <v>95</v>
      </c>
      <c r="P107" s="74" t="s">
        <v>113</v>
      </c>
      <c r="Q107" s="110">
        <v>300</v>
      </c>
      <c r="R107" s="115">
        <f t="shared" si="10"/>
        <v>1.9587000000000001</v>
      </c>
      <c r="S107" s="74">
        <v>4</v>
      </c>
      <c r="T107" s="74" t="s">
        <v>80</v>
      </c>
      <c r="U107" s="110">
        <v>1200</v>
      </c>
      <c r="V107" s="115">
        <f t="shared" si="11"/>
        <v>7.8348000000000004</v>
      </c>
      <c r="W107" s="74" t="s">
        <v>114</v>
      </c>
      <c r="X107" s="74">
        <v>3</v>
      </c>
      <c r="Y107" s="74">
        <v>4</v>
      </c>
      <c r="Z107" s="68"/>
    </row>
    <row r="108" spans="1:26" x14ac:dyDescent="0.25">
      <c r="A108" s="68">
        <v>222406000</v>
      </c>
      <c r="F108" s="117"/>
      <c r="G108" s="74" t="s">
        <v>116</v>
      </c>
      <c r="H108" s="110" t="s">
        <v>117</v>
      </c>
      <c r="I108" s="111">
        <v>1</v>
      </c>
      <c r="J108" s="119">
        <v>16</v>
      </c>
      <c r="L108" s="114">
        <v>6.242</v>
      </c>
      <c r="M108" s="120" t="s">
        <v>95</v>
      </c>
      <c r="N108" s="74" t="s">
        <v>79</v>
      </c>
      <c r="O108" s="120" t="s">
        <v>95</v>
      </c>
      <c r="P108" s="74" t="s">
        <v>113</v>
      </c>
      <c r="Q108" s="110">
        <v>300</v>
      </c>
      <c r="R108" s="115">
        <f t="shared" si="10"/>
        <v>1.8725999999999998</v>
      </c>
      <c r="S108" s="74">
        <v>4</v>
      </c>
      <c r="T108" s="74" t="s">
        <v>80</v>
      </c>
      <c r="U108" s="110">
        <v>1200</v>
      </c>
      <c r="V108" s="115">
        <f t="shared" si="11"/>
        <v>7.4903999999999993</v>
      </c>
      <c r="W108" s="74" t="s">
        <v>114</v>
      </c>
      <c r="X108" s="74">
        <v>3</v>
      </c>
      <c r="Y108" s="74">
        <v>4</v>
      </c>
      <c r="Z108" s="68"/>
    </row>
    <row r="109" spans="1:26" x14ac:dyDescent="0.25">
      <c r="A109" s="68">
        <v>222408000</v>
      </c>
      <c r="F109" s="117"/>
      <c r="G109" s="74" t="s">
        <v>116</v>
      </c>
      <c r="H109" s="110" t="s">
        <v>117</v>
      </c>
      <c r="I109" s="111">
        <v>1</v>
      </c>
      <c r="J109" s="119">
        <v>16</v>
      </c>
      <c r="L109" s="114">
        <v>6.8120000000000003</v>
      </c>
      <c r="M109" s="120" t="s">
        <v>95</v>
      </c>
      <c r="N109" s="74" t="s">
        <v>79</v>
      </c>
      <c r="O109" s="120" t="s">
        <v>95</v>
      </c>
      <c r="P109" s="74" t="s">
        <v>113</v>
      </c>
      <c r="Q109" s="110">
        <v>300</v>
      </c>
      <c r="R109" s="115">
        <f t="shared" si="10"/>
        <v>2.0436000000000001</v>
      </c>
      <c r="S109" s="74">
        <v>4</v>
      </c>
      <c r="T109" s="74" t="s">
        <v>80</v>
      </c>
      <c r="U109" s="110">
        <v>1200</v>
      </c>
      <c r="V109" s="115">
        <f t="shared" si="11"/>
        <v>8.1744000000000003</v>
      </c>
      <c r="W109" s="74" t="s">
        <v>114</v>
      </c>
      <c r="X109" s="74">
        <v>3</v>
      </c>
      <c r="Y109" s="74">
        <v>4</v>
      </c>
      <c r="Z109" s="68"/>
    </row>
    <row r="110" spans="1:26" x14ac:dyDescent="0.25">
      <c r="A110" s="68">
        <v>222408001</v>
      </c>
      <c r="F110" s="117"/>
      <c r="G110" s="74" t="s">
        <v>116</v>
      </c>
      <c r="H110" s="110" t="s">
        <v>117</v>
      </c>
      <c r="I110" s="111">
        <v>1</v>
      </c>
      <c r="J110" s="119">
        <v>16</v>
      </c>
      <c r="L110" s="114">
        <v>6.8120000000000003</v>
      </c>
      <c r="M110" s="120" t="s">
        <v>95</v>
      </c>
      <c r="N110" s="74" t="s">
        <v>79</v>
      </c>
      <c r="O110" s="120" t="s">
        <v>95</v>
      </c>
      <c r="P110" s="74" t="s">
        <v>113</v>
      </c>
      <c r="Q110" s="110">
        <v>300</v>
      </c>
      <c r="R110" s="115">
        <f t="shared" si="10"/>
        <v>2.0436000000000001</v>
      </c>
      <c r="S110" s="74">
        <v>4</v>
      </c>
      <c r="T110" s="74" t="s">
        <v>80</v>
      </c>
      <c r="U110" s="110">
        <v>1200</v>
      </c>
      <c r="V110" s="115">
        <f t="shared" si="11"/>
        <v>8.1744000000000003</v>
      </c>
      <c r="W110" s="74" t="s">
        <v>114</v>
      </c>
      <c r="X110" s="74">
        <v>3</v>
      </c>
      <c r="Y110" s="74">
        <v>4</v>
      </c>
      <c r="Z110" s="68"/>
    </row>
    <row r="111" spans="1:26" x14ac:dyDescent="0.25">
      <c r="A111" s="68">
        <v>222408002</v>
      </c>
      <c r="F111" s="117"/>
      <c r="G111" s="74" t="s">
        <v>116</v>
      </c>
      <c r="H111" s="110" t="s">
        <v>117</v>
      </c>
      <c r="I111" s="111">
        <v>1</v>
      </c>
      <c r="J111" s="119">
        <v>16</v>
      </c>
      <c r="L111" s="114">
        <v>6.8120000000000003</v>
      </c>
      <c r="M111" s="120" t="s">
        <v>95</v>
      </c>
      <c r="N111" s="74" t="s">
        <v>79</v>
      </c>
      <c r="O111" s="120" t="s">
        <v>95</v>
      </c>
      <c r="P111" s="74" t="s">
        <v>113</v>
      </c>
      <c r="Q111" s="110">
        <v>300</v>
      </c>
      <c r="R111" s="115">
        <f t="shared" si="10"/>
        <v>2.0436000000000001</v>
      </c>
      <c r="S111" s="74">
        <v>4</v>
      </c>
      <c r="T111" s="74" t="s">
        <v>80</v>
      </c>
      <c r="U111" s="110">
        <v>1200</v>
      </c>
      <c r="V111" s="115">
        <f t="shared" si="11"/>
        <v>8.1744000000000003</v>
      </c>
      <c r="W111" s="74" t="s">
        <v>114</v>
      </c>
      <c r="X111" s="74">
        <v>3</v>
      </c>
      <c r="Y111" s="74">
        <v>4</v>
      </c>
      <c r="Z111" s="68"/>
    </row>
    <row r="112" spans="1:26" x14ac:dyDescent="0.25">
      <c r="A112" s="122">
        <v>205639000</v>
      </c>
      <c r="B112" s="122"/>
      <c r="C112" s="122"/>
      <c r="D112" s="122"/>
      <c r="E112" s="122"/>
      <c r="F112" s="98"/>
      <c r="G112" s="123" t="s">
        <v>118</v>
      </c>
      <c r="H112" s="124" t="s">
        <v>119</v>
      </c>
      <c r="I112" s="125">
        <v>1</v>
      </c>
      <c r="J112" s="126">
        <v>3.6</v>
      </c>
      <c r="K112" s="127"/>
      <c r="L112" s="104">
        <v>2.6110000000000002</v>
      </c>
      <c r="M112" s="124" t="s">
        <v>119</v>
      </c>
      <c r="N112" s="123" t="s">
        <v>79</v>
      </c>
      <c r="O112" s="124" t="s">
        <v>119</v>
      </c>
      <c r="P112" s="123" t="s">
        <v>88</v>
      </c>
      <c r="Q112" s="128">
        <v>1000</v>
      </c>
      <c r="R112" s="96">
        <f>L112*Q112/1000</f>
        <v>2.6110000000000002</v>
      </c>
      <c r="S112" s="123">
        <v>4</v>
      </c>
      <c r="T112" s="123" t="s">
        <v>85</v>
      </c>
      <c r="U112" s="128">
        <f>Q112*S112</f>
        <v>4000</v>
      </c>
      <c r="V112" s="96">
        <f>L112*U112/1000</f>
        <v>10.444000000000001</v>
      </c>
      <c r="W112" s="123" t="s">
        <v>81</v>
      </c>
      <c r="X112" s="123">
        <v>3</v>
      </c>
      <c r="Y112" s="123">
        <v>5</v>
      </c>
      <c r="Z112" s="122"/>
    </row>
    <row r="113" spans="1:26" x14ac:dyDescent="0.25">
      <c r="A113" s="129" t="s">
        <v>120</v>
      </c>
      <c r="B113" s="129"/>
      <c r="C113" s="122"/>
      <c r="D113" s="122"/>
      <c r="E113" s="122"/>
      <c r="F113" s="98"/>
      <c r="G113" s="123" t="s">
        <v>118</v>
      </c>
      <c r="H113" s="124" t="s">
        <v>119</v>
      </c>
      <c r="I113" s="125">
        <v>1</v>
      </c>
      <c r="J113" s="126">
        <v>3.6</v>
      </c>
      <c r="K113" s="127"/>
      <c r="L113" s="104">
        <v>3.585</v>
      </c>
      <c r="M113" s="124" t="s">
        <v>119</v>
      </c>
      <c r="N113" s="123" t="s">
        <v>79</v>
      </c>
      <c r="O113" s="124" t="s">
        <v>119</v>
      </c>
      <c r="P113" s="123" t="s">
        <v>88</v>
      </c>
      <c r="Q113" s="128">
        <v>1000</v>
      </c>
      <c r="R113" s="96">
        <f t="shared" ref="R113:R119" si="12">L113*Q113/1000</f>
        <v>3.585</v>
      </c>
      <c r="S113" s="123">
        <v>3</v>
      </c>
      <c r="T113" s="123" t="s">
        <v>85</v>
      </c>
      <c r="U113" s="128">
        <f t="shared" ref="U113:U119" si="13">Q113*S113</f>
        <v>3000</v>
      </c>
      <c r="V113" s="96">
        <f t="shared" ref="V113:V119" si="14">L113*U113/1000</f>
        <v>10.755000000000001</v>
      </c>
      <c r="W113" s="123" t="s">
        <v>81</v>
      </c>
      <c r="X113" s="123">
        <v>3</v>
      </c>
      <c r="Y113" s="123">
        <v>5</v>
      </c>
      <c r="Z113" s="122"/>
    </row>
    <row r="114" spans="1:26" x14ac:dyDescent="0.25">
      <c r="A114" s="122">
        <v>249124000</v>
      </c>
      <c r="B114" s="122"/>
      <c r="C114" s="122"/>
      <c r="D114" s="122"/>
      <c r="E114" s="122"/>
      <c r="F114" s="98"/>
      <c r="G114" s="123" t="s">
        <v>118</v>
      </c>
      <c r="H114" s="124" t="s">
        <v>119</v>
      </c>
      <c r="I114" s="125">
        <v>1</v>
      </c>
      <c r="J114" s="126">
        <v>3.6</v>
      </c>
      <c r="K114" s="127"/>
      <c r="L114" s="104">
        <v>2.5449999999999999</v>
      </c>
      <c r="M114" s="124" t="s">
        <v>119</v>
      </c>
      <c r="N114" s="123" t="s">
        <v>79</v>
      </c>
      <c r="O114" s="124" t="s">
        <v>119</v>
      </c>
      <c r="P114" s="123" t="s">
        <v>88</v>
      </c>
      <c r="Q114" s="128">
        <v>1000</v>
      </c>
      <c r="R114" s="96">
        <f t="shared" si="12"/>
        <v>2.5449999999999999</v>
      </c>
      <c r="S114" s="123">
        <v>4</v>
      </c>
      <c r="T114" s="123" t="s">
        <v>85</v>
      </c>
      <c r="U114" s="128">
        <f t="shared" si="13"/>
        <v>4000</v>
      </c>
      <c r="V114" s="96">
        <f t="shared" si="14"/>
        <v>10.18</v>
      </c>
      <c r="W114" s="123" t="s">
        <v>81</v>
      </c>
      <c r="X114" s="123">
        <v>3</v>
      </c>
      <c r="Y114" s="123">
        <v>5</v>
      </c>
      <c r="Z114" s="122"/>
    </row>
    <row r="115" spans="1:26" x14ac:dyDescent="0.25">
      <c r="A115" s="122">
        <v>249125000</v>
      </c>
      <c r="B115" s="122"/>
      <c r="C115" s="122"/>
      <c r="D115" s="122"/>
      <c r="E115" s="122"/>
      <c r="F115" s="98"/>
      <c r="G115" s="123" t="s">
        <v>118</v>
      </c>
      <c r="H115" s="124" t="s">
        <v>119</v>
      </c>
      <c r="I115" s="125">
        <v>1</v>
      </c>
      <c r="J115" s="126">
        <v>3.6</v>
      </c>
      <c r="K115" s="127"/>
      <c r="L115" s="104">
        <v>0</v>
      </c>
      <c r="M115" s="124" t="s">
        <v>119</v>
      </c>
      <c r="N115" s="123" t="s">
        <v>79</v>
      </c>
      <c r="O115" s="124" t="s">
        <v>119</v>
      </c>
      <c r="P115" s="123" t="s">
        <v>88</v>
      </c>
      <c r="Q115" s="128">
        <v>1000</v>
      </c>
      <c r="R115" s="96">
        <f t="shared" si="12"/>
        <v>0</v>
      </c>
      <c r="S115" s="123">
        <v>3</v>
      </c>
      <c r="T115" s="123" t="s">
        <v>85</v>
      </c>
      <c r="U115" s="128">
        <f t="shared" si="13"/>
        <v>3000</v>
      </c>
      <c r="V115" s="96">
        <f t="shared" si="14"/>
        <v>0</v>
      </c>
      <c r="W115" s="123" t="s">
        <v>81</v>
      </c>
      <c r="X115" s="123">
        <v>3</v>
      </c>
      <c r="Y115" s="123">
        <v>5</v>
      </c>
      <c r="Z115" s="122"/>
    </row>
    <row r="116" spans="1:26" x14ac:dyDescent="0.25">
      <c r="A116" s="129" t="s">
        <v>121</v>
      </c>
      <c r="B116" s="129"/>
      <c r="C116" s="122"/>
      <c r="D116" s="122"/>
      <c r="E116" s="122"/>
      <c r="F116" s="98"/>
      <c r="G116" s="123" t="s">
        <v>118</v>
      </c>
      <c r="H116" s="124" t="s">
        <v>119</v>
      </c>
      <c r="I116" s="125">
        <v>1</v>
      </c>
      <c r="J116" s="126">
        <v>3.6</v>
      </c>
      <c r="K116" s="127"/>
      <c r="L116" s="104">
        <v>3.64</v>
      </c>
      <c r="M116" s="124" t="s">
        <v>119</v>
      </c>
      <c r="N116" s="123" t="s">
        <v>79</v>
      </c>
      <c r="O116" s="124" t="s">
        <v>119</v>
      </c>
      <c r="P116" s="123" t="s">
        <v>88</v>
      </c>
      <c r="Q116" s="128">
        <v>1000</v>
      </c>
      <c r="R116" s="96">
        <f t="shared" si="12"/>
        <v>3.64</v>
      </c>
      <c r="S116" s="123">
        <v>3</v>
      </c>
      <c r="T116" s="123" t="s">
        <v>85</v>
      </c>
      <c r="U116" s="128">
        <f t="shared" si="13"/>
        <v>3000</v>
      </c>
      <c r="V116" s="96">
        <f t="shared" si="14"/>
        <v>10.92</v>
      </c>
      <c r="W116" s="123" t="s">
        <v>81</v>
      </c>
      <c r="X116" s="123">
        <v>3</v>
      </c>
      <c r="Y116" s="123">
        <v>5</v>
      </c>
      <c r="Z116" s="122"/>
    </row>
    <row r="117" spans="1:26" x14ac:dyDescent="0.25">
      <c r="A117" s="129" t="s">
        <v>122</v>
      </c>
      <c r="B117" s="129"/>
      <c r="C117" s="122"/>
      <c r="D117" s="122"/>
      <c r="E117" s="122"/>
      <c r="F117" s="98"/>
      <c r="G117" s="123" t="s">
        <v>118</v>
      </c>
      <c r="H117" s="124" t="s">
        <v>119</v>
      </c>
      <c r="I117" s="125">
        <v>1</v>
      </c>
      <c r="J117" s="126">
        <v>3.6</v>
      </c>
      <c r="K117" s="127"/>
      <c r="L117" s="104">
        <v>0</v>
      </c>
      <c r="M117" s="124" t="s">
        <v>119</v>
      </c>
      <c r="N117" s="123" t="s">
        <v>79</v>
      </c>
      <c r="O117" s="124" t="s">
        <v>119</v>
      </c>
      <c r="P117" s="123" t="s">
        <v>88</v>
      </c>
      <c r="Q117" s="128">
        <v>1000</v>
      </c>
      <c r="R117" s="96">
        <f t="shared" si="12"/>
        <v>0</v>
      </c>
      <c r="S117" s="123">
        <v>4</v>
      </c>
      <c r="T117" s="123" t="s">
        <v>85</v>
      </c>
      <c r="U117" s="128">
        <f t="shared" si="13"/>
        <v>4000</v>
      </c>
      <c r="V117" s="96">
        <f t="shared" si="14"/>
        <v>0</v>
      </c>
      <c r="W117" s="123" t="s">
        <v>81</v>
      </c>
      <c r="X117" s="123">
        <v>3</v>
      </c>
      <c r="Y117" s="123">
        <v>5</v>
      </c>
      <c r="Z117" s="122"/>
    </row>
    <row r="118" spans="1:26" x14ac:dyDescent="0.25">
      <c r="A118" s="129" t="s">
        <v>123</v>
      </c>
      <c r="B118" s="129"/>
      <c r="C118" s="122"/>
      <c r="D118" s="122"/>
      <c r="E118" s="122"/>
      <c r="F118" s="98"/>
      <c r="G118" s="123" t="s">
        <v>118</v>
      </c>
      <c r="H118" s="124" t="s">
        <v>119</v>
      </c>
      <c r="I118" s="125">
        <v>1</v>
      </c>
      <c r="J118" s="126">
        <v>10</v>
      </c>
      <c r="K118" s="127"/>
      <c r="L118" s="104">
        <v>4.4400000000000004</v>
      </c>
      <c r="M118" s="124" t="s">
        <v>119</v>
      </c>
      <c r="N118" s="123" t="s">
        <v>79</v>
      </c>
      <c r="O118" s="124" t="s">
        <v>119</v>
      </c>
      <c r="P118" s="123" t="s">
        <v>88</v>
      </c>
      <c r="Q118" s="128">
        <v>1000</v>
      </c>
      <c r="R118" s="96">
        <f t="shared" si="12"/>
        <v>4.4400000000000004</v>
      </c>
      <c r="S118" s="123">
        <v>2</v>
      </c>
      <c r="T118" s="123" t="s">
        <v>85</v>
      </c>
      <c r="U118" s="128">
        <f t="shared" si="13"/>
        <v>2000</v>
      </c>
      <c r="V118" s="96">
        <f t="shared" si="14"/>
        <v>8.8800000000000008</v>
      </c>
      <c r="W118" s="123" t="s">
        <v>81</v>
      </c>
      <c r="X118" s="123">
        <v>3</v>
      </c>
      <c r="Y118" s="123">
        <v>5</v>
      </c>
      <c r="Z118" s="122"/>
    </row>
    <row r="119" spans="1:26" x14ac:dyDescent="0.25">
      <c r="A119" s="129" t="s">
        <v>124</v>
      </c>
      <c r="B119" s="129"/>
      <c r="C119" s="122"/>
      <c r="D119" s="122"/>
      <c r="E119" s="122"/>
      <c r="F119" s="98"/>
      <c r="G119" s="123" t="s">
        <v>118</v>
      </c>
      <c r="H119" s="124" t="s">
        <v>119</v>
      </c>
      <c r="I119" s="125">
        <v>1</v>
      </c>
      <c r="J119" s="126">
        <v>10</v>
      </c>
      <c r="K119" s="127"/>
      <c r="L119" s="104">
        <v>4.4400000000000004</v>
      </c>
      <c r="M119" s="124" t="s">
        <v>119</v>
      </c>
      <c r="N119" s="123" t="s">
        <v>79</v>
      </c>
      <c r="O119" s="124" t="s">
        <v>119</v>
      </c>
      <c r="P119" s="123" t="s">
        <v>88</v>
      </c>
      <c r="Q119" s="128">
        <v>1000</v>
      </c>
      <c r="R119" s="96">
        <f t="shared" si="12"/>
        <v>4.4400000000000004</v>
      </c>
      <c r="S119" s="123">
        <v>2</v>
      </c>
      <c r="T119" s="123" t="s">
        <v>85</v>
      </c>
      <c r="U119" s="128">
        <f t="shared" si="13"/>
        <v>2000</v>
      </c>
      <c r="V119" s="96">
        <f t="shared" si="14"/>
        <v>8.8800000000000008</v>
      </c>
      <c r="W119" s="123" t="s">
        <v>81</v>
      </c>
      <c r="X119" s="123">
        <v>3</v>
      </c>
      <c r="Y119" s="123">
        <v>5</v>
      </c>
      <c r="Z119" s="122"/>
    </row>
  </sheetData>
  <autoFilter ref="A1:Y56" xr:uid="{00000000-0009-0000-0000-000002000000}"/>
  <pageMargins left="0.19685039370078741" right="0.19685039370078741" top="0.19685039370078741" bottom="0.19685039370078741" header="0" footer="0"/>
  <pageSetup paperSize="9" scale="28" fitToHeight="0"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0"/>
  <sheetViews>
    <sheetView workbookViewId="0">
      <selection activeCell="A19" sqref="A19:C30"/>
    </sheetView>
  </sheetViews>
  <sheetFormatPr defaultRowHeight="15" x14ac:dyDescent="0.25"/>
  <cols>
    <col min="2" max="2" width="16.42578125" bestFit="1" customWidth="1"/>
    <col min="3" max="3" width="23" bestFit="1" customWidth="1"/>
    <col min="4" max="4" width="9.28515625" bestFit="1" customWidth="1"/>
    <col min="5" max="6" width="11" customWidth="1"/>
    <col min="7" max="7" width="16.42578125" bestFit="1" customWidth="1"/>
    <col min="8" max="8" width="24" bestFit="1" customWidth="1"/>
    <col min="9" max="9" width="10.7109375" bestFit="1" customWidth="1"/>
    <col min="10" max="10" width="10.28515625" bestFit="1" customWidth="1"/>
    <col min="11" max="11" width="10.28515625" customWidth="1"/>
    <col min="12" max="12" width="16.42578125" bestFit="1" customWidth="1"/>
    <col min="13" max="13" width="24" bestFit="1" customWidth="1"/>
    <col min="14" max="14" width="10.7109375" bestFit="1" customWidth="1"/>
    <col min="15" max="15" width="10.28515625" bestFit="1" customWidth="1"/>
  </cols>
  <sheetData>
    <row r="1" spans="1:16" s="62" customFormat="1" ht="90" x14ac:dyDescent="0.25">
      <c r="A1" s="62" t="s">
        <v>181</v>
      </c>
      <c r="B1" s="62" t="s">
        <v>183</v>
      </c>
      <c r="C1" s="62" t="s">
        <v>185</v>
      </c>
      <c r="D1" s="62" t="s">
        <v>184</v>
      </c>
      <c r="E1" s="62" t="s">
        <v>186</v>
      </c>
      <c r="F1" s="62" t="s">
        <v>187</v>
      </c>
      <c r="G1" s="62" t="s">
        <v>188</v>
      </c>
      <c r="H1" s="62" t="s">
        <v>189</v>
      </c>
      <c r="I1" s="62" t="s">
        <v>190</v>
      </c>
      <c r="J1" s="62" t="s">
        <v>191</v>
      </c>
      <c r="K1" s="62" t="s">
        <v>192</v>
      </c>
      <c r="L1" s="62" t="s">
        <v>193</v>
      </c>
      <c r="M1" s="62" t="s">
        <v>194</v>
      </c>
      <c r="N1" s="62" t="s">
        <v>195</v>
      </c>
      <c r="O1" s="62" t="s">
        <v>196</v>
      </c>
      <c r="P1" s="62" t="s">
        <v>197</v>
      </c>
    </row>
    <row r="2" spans="1:16" x14ac:dyDescent="0.25">
      <c r="A2" s="134">
        <v>43466</v>
      </c>
      <c r="B2" s="136">
        <v>816</v>
      </c>
      <c r="C2" s="136">
        <v>1488</v>
      </c>
      <c r="D2" s="136">
        <v>789.42768055555564</v>
      </c>
      <c r="E2" s="135">
        <f>C2-D2</f>
        <v>698.57231944444436</v>
      </c>
      <c r="F2" s="137">
        <f>D2/B2</f>
        <v>0.96743588303376915</v>
      </c>
      <c r="G2" s="136">
        <v>408</v>
      </c>
      <c r="H2" s="136">
        <v>744</v>
      </c>
      <c r="I2" s="136">
        <v>124.84083333333332</v>
      </c>
      <c r="J2" s="135">
        <f>H2-I2</f>
        <v>619.15916666666669</v>
      </c>
      <c r="K2" s="137">
        <f>I2/G2</f>
        <v>0.30598243464052283</v>
      </c>
      <c r="L2" s="136">
        <v>816</v>
      </c>
      <c r="M2" s="136">
        <v>1488</v>
      </c>
      <c r="N2" s="136">
        <v>621.5627777777778</v>
      </c>
      <c r="O2" s="135">
        <f>M2-N2</f>
        <v>866.4372222222222</v>
      </c>
      <c r="P2" s="137">
        <f>N2/L2</f>
        <v>0.76171909041394337</v>
      </c>
    </row>
    <row r="3" spans="1:16" x14ac:dyDescent="0.25">
      <c r="A3" s="134">
        <v>43497</v>
      </c>
      <c r="B3" s="136">
        <v>912</v>
      </c>
      <c r="C3" s="136">
        <v>1344</v>
      </c>
      <c r="D3" s="136">
        <v>963.15718749999996</v>
      </c>
      <c r="E3" s="135">
        <f t="shared" ref="E3:E8" si="0">C3-D3</f>
        <v>380.84281250000004</v>
      </c>
      <c r="F3" s="138">
        <f t="shared" ref="F3:F9" si="1">D3/B3</f>
        <v>1.0560934073464912</v>
      </c>
      <c r="G3" s="136">
        <v>456</v>
      </c>
      <c r="H3" s="136">
        <v>672</v>
      </c>
      <c r="I3" s="136">
        <v>332.5743055555555</v>
      </c>
      <c r="J3" s="135">
        <f t="shared" ref="J3:J8" si="2">H3-I3</f>
        <v>339.4256944444445</v>
      </c>
      <c r="K3" s="137">
        <f t="shared" ref="K3:K9" si="3">I3/G3</f>
        <v>0.72932961744639369</v>
      </c>
      <c r="L3" s="136">
        <v>912</v>
      </c>
      <c r="M3" s="136">
        <v>1344</v>
      </c>
      <c r="N3" s="136">
        <v>698.04552083333351</v>
      </c>
      <c r="O3" s="135">
        <f t="shared" ref="O3:O8" si="4">M3-N3</f>
        <v>645.95447916666649</v>
      </c>
      <c r="P3" s="137">
        <f t="shared" ref="P3:P9" si="5">N3/L3</f>
        <v>0.76540079038742714</v>
      </c>
    </row>
    <row r="4" spans="1:16" x14ac:dyDescent="0.25">
      <c r="A4" s="134">
        <v>43525</v>
      </c>
      <c r="B4" s="136">
        <v>960</v>
      </c>
      <c r="C4" s="136">
        <v>1488</v>
      </c>
      <c r="D4" s="136">
        <v>839.26076388888885</v>
      </c>
      <c r="E4" s="135">
        <f t="shared" si="0"/>
        <v>648.73923611111115</v>
      </c>
      <c r="F4" s="137">
        <f t="shared" si="1"/>
        <v>0.87422996238425921</v>
      </c>
      <c r="G4" s="136">
        <v>480</v>
      </c>
      <c r="H4" s="136">
        <v>744</v>
      </c>
      <c r="I4" s="136">
        <v>417.35680555555547</v>
      </c>
      <c r="J4" s="135">
        <f t="shared" si="2"/>
        <v>326.64319444444453</v>
      </c>
      <c r="K4" s="137">
        <f t="shared" si="3"/>
        <v>0.86949334490740726</v>
      </c>
      <c r="L4" s="136">
        <v>960</v>
      </c>
      <c r="M4" s="136">
        <v>1488</v>
      </c>
      <c r="N4" s="136">
        <v>690.54802083333345</v>
      </c>
      <c r="O4" s="135">
        <f t="shared" si="4"/>
        <v>797.45197916666655</v>
      </c>
      <c r="P4" s="137">
        <f t="shared" si="5"/>
        <v>0.71932085503472232</v>
      </c>
    </row>
    <row r="5" spans="1:16" x14ac:dyDescent="0.25">
      <c r="A5" s="134">
        <v>43556</v>
      </c>
      <c r="B5" s="136">
        <v>1008</v>
      </c>
      <c r="C5" s="136">
        <v>1440</v>
      </c>
      <c r="D5" s="136">
        <v>839.26076388888885</v>
      </c>
      <c r="E5" s="135">
        <f t="shared" si="0"/>
        <v>600.73923611111115</v>
      </c>
      <c r="F5" s="137">
        <f t="shared" si="1"/>
        <v>0.83259996417548499</v>
      </c>
      <c r="G5" s="136">
        <v>504</v>
      </c>
      <c r="H5" s="136">
        <v>720</v>
      </c>
      <c r="I5" s="136">
        <v>417.35680555555547</v>
      </c>
      <c r="J5" s="135">
        <f t="shared" si="2"/>
        <v>302.64319444444453</v>
      </c>
      <c r="K5" s="137">
        <f t="shared" si="3"/>
        <v>0.82808889991181645</v>
      </c>
      <c r="L5" s="136">
        <v>1008</v>
      </c>
      <c r="M5" s="136">
        <v>1440</v>
      </c>
      <c r="N5" s="136">
        <v>690.54802083333345</v>
      </c>
      <c r="O5" s="135">
        <f t="shared" si="4"/>
        <v>749.45197916666655</v>
      </c>
      <c r="P5" s="137">
        <f t="shared" si="5"/>
        <v>0.68506748098544989</v>
      </c>
    </row>
    <row r="6" spans="1:16" x14ac:dyDescent="0.25">
      <c r="A6" s="134">
        <v>43586</v>
      </c>
      <c r="B6" s="136">
        <v>960</v>
      </c>
      <c r="C6" s="136">
        <v>1488</v>
      </c>
      <c r="D6" s="136">
        <v>912.42683823529399</v>
      </c>
      <c r="E6" s="135">
        <f t="shared" si="0"/>
        <v>575.57316176470601</v>
      </c>
      <c r="F6" s="137">
        <f t="shared" si="1"/>
        <v>0.95044462316176459</v>
      </c>
      <c r="G6" s="136">
        <v>480</v>
      </c>
      <c r="H6" s="136">
        <v>744</v>
      </c>
      <c r="I6" s="136">
        <v>17.909558823529412</v>
      </c>
      <c r="J6" s="135">
        <f t="shared" si="2"/>
        <v>726.09044117647056</v>
      </c>
      <c r="K6" s="137">
        <f t="shared" si="3"/>
        <v>3.7311580882352945E-2</v>
      </c>
      <c r="L6" s="136">
        <v>960</v>
      </c>
      <c r="M6" s="136">
        <v>1488</v>
      </c>
      <c r="N6" s="136">
        <v>688.25653594771245</v>
      </c>
      <c r="O6" s="135">
        <f t="shared" si="4"/>
        <v>799.74346405228755</v>
      </c>
      <c r="P6" s="137">
        <f t="shared" si="5"/>
        <v>0.71693389161220045</v>
      </c>
    </row>
    <row r="7" spans="1:16" x14ac:dyDescent="0.25">
      <c r="A7" s="134">
        <v>43617</v>
      </c>
      <c r="B7" s="136">
        <v>960</v>
      </c>
      <c r="C7" s="136">
        <v>1440</v>
      </c>
      <c r="D7" s="136">
        <v>575.43897058823529</v>
      </c>
      <c r="E7" s="135">
        <f t="shared" si="0"/>
        <v>864.56102941176471</v>
      </c>
      <c r="F7" s="137">
        <f t="shared" si="1"/>
        <v>0.59941559436274505</v>
      </c>
      <c r="G7" s="136">
        <v>480</v>
      </c>
      <c r="H7" s="136">
        <v>720</v>
      </c>
      <c r="I7" s="136">
        <v>237.35588235294117</v>
      </c>
      <c r="J7" s="135">
        <f t="shared" si="2"/>
        <v>482.64411764705881</v>
      </c>
      <c r="K7" s="137">
        <f t="shared" si="3"/>
        <v>0.49449142156862741</v>
      </c>
      <c r="L7" s="136">
        <v>960</v>
      </c>
      <c r="M7" s="136">
        <v>1440</v>
      </c>
      <c r="N7" s="136">
        <v>598.42583333333334</v>
      </c>
      <c r="O7" s="135">
        <f t="shared" si="4"/>
        <v>841.57416666666666</v>
      </c>
      <c r="P7" s="137">
        <f t="shared" si="5"/>
        <v>0.6233602430555556</v>
      </c>
    </row>
    <row r="8" spans="1:16" x14ac:dyDescent="0.25">
      <c r="A8" s="134">
        <v>43647</v>
      </c>
      <c r="B8" s="136">
        <v>960</v>
      </c>
      <c r="C8" s="136">
        <v>1488</v>
      </c>
      <c r="D8" s="136">
        <v>872.78978758169956</v>
      </c>
      <c r="E8" s="135">
        <f t="shared" si="0"/>
        <v>615.21021241830044</v>
      </c>
      <c r="F8" s="137">
        <f t="shared" si="1"/>
        <v>0.90915602873093704</v>
      </c>
      <c r="G8" s="136">
        <v>480</v>
      </c>
      <c r="H8" s="136">
        <v>744</v>
      </c>
      <c r="I8" s="136">
        <v>288.84477124183007</v>
      </c>
      <c r="J8" s="135">
        <f t="shared" si="2"/>
        <v>455.15522875816993</v>
      </c>
      <c r="K8" s="137">
        <f t="shared" si="3"/>
        <v>0.60175994008714595</v>
      </c>
      <c r="L8" s="136">
        <v>960</v>
      </c>
      <c r="M8" s="136">
        <v>1488</v>
      </c>
      <c r="N8" s="136">
        <v>797.52459150326797</v>
      </c>
      <c r="O8" s="135">
        <f t="shared" si="4"/>
        <v>690.47540849673203</v>
      </c>
      <c r="P8" s="137">
        <f t="shared" si="5"/>
        <v>0.83075478281590409</v>
      </c>
    </row>
    <row r="9" spans="1:16" x14ac:dyDescent="0.25">
      <c r="A9" s="134">
        <v>43678</v>
      </c>
      <c r="B9" s="136">
        <v>720</v>
      </c>
      <c r="C9" s="136">
        <v>1488</v>
      </c>
      <c r="D9" s="111">
        <v>411</v>
      </c>
      <c r="E9" s="135">
        <f>C9-B9</f>
        <v>768</v>
      </c>
      <c r="F9" s="137">
        <f t="shared" si="1"/>
        <v>0.5708333333333333</v>
      </c>
      <c r="G9" s="136">
        <v>360</v>
      </c>
      <c r="H9" s="136">
        <v>744</v>
      </c>
      <c r="I9" s="136">
        <v>226</v>
      </c>
      <c r="J9" s="135">
        <f>H9-G9</f>
        <v>384</v>
      </c>
      <c r="K9" s="137">
        <f t="shared" si="3"/>
        <v>0.62777777777777777</v>
      </c>
      <c r="L9" s="136">
        <v>720</v>
      </c>
      <c r="M9" s="136">
        <v>1488</v>
      </c>
      <c r="N9" s="111">
        <v>625</v>
      </c>
      <c r="O9" s="135">
        <f>M9-L9</f>
        <v>768</v>
      </c>
      <c r="P9" s="137">
        <f t="shared" si="5"/>
        <v>0.86805555555555558</v>
      </c>
    </row>
    <row r="10" spans="1:16" x14ac:dyDescent="0.25">
      <c r="A10" s="134">
        <v>43709</v>
      </c>
      <c r="B10" s="136">
        <v>960</v>
      </c>
      <c r="C10" s="136">
        <v>1440</v>
      </c>
      <c r="D10" s="135"/>
      <c r="E10" s="135">
        <f t="shared" ref="E10:E13" si="6">C10-B10</f>
        <v>480</v>
      </c>
      <c r="F10" s="135"/>
      <c r="G10" s="136">
        <v>480</v>
      </c>
      <c r="H10" s="136">
        <v>720</v>
      </c>
      <c r="I10" s="135"/>
      <c r="J10" s="135">
        <f t="shared" ref="J10:J13" si="7">H10-G10</f>
        <v>240</v>
      </c>
      <c r="K10" s="135"/>
      <c r="L10" s="136">
        <v>960</v>
      </c>
      <c r="M10" s="136">
        <v>1440</v>
      </c>
      <c r="N10" s="135"/>
      <c r="O10" s="135">
        <f t="shared" ref="O10:O13" si="8">M10-L10</f>
        <v>480</v>
      </c>
    </row>
    <row r="11" spans="1:16" x14ac:dyDescent="0.25">
      <c r="A11" s="134">
        <v>43739</v>
      </c>
      <c r="B11" s="136">
        <v>1104</v>
      </c>
      <c r="C11" s="136">
        <v>1488</v>
      </c>
      <c r="D11" s="135"/>
      <c r="E11" s="135">
        <f t="shared" si="6"/>
        <v>384</v>
      </c>
      <c r="F11" s="135"/>
      <c r="G11" s="136">
        <v>552</v>
      </c>
      <c r="H11" s="136">
        <v>744</v>
      </c>
      <c r="I11" s="135"/>
      <c r="J11" s="135">
        <f t="shared" si="7"/>
        <v>192</v>
      </c>
      <c r="K11" s="135"/>
      <c r="L11" s="136">
        <v>1104</v>
      </c>
      <c r="M11" s="136">
        <v>1488</v>
      </c>
      <c r="N11" s="135"/>
      <c r="O11" s="135">
        <f t="shared" si="8"/>
        <v>384</v>
      </c>
    </row>
    <row r="12" spans="1:16" x14ac:dyDescent="0.25">
      <c r="A12" s="134">
        <v>43770</v>
      </c>
      <c r="B12" s="136">
        <v>1008</v>
      </c>
      <c r="C12" s="136">
        <v>1440</v>
      </c>
      <c r="D12" s="135"/>
      <c r="E12" s="135">
        <f t="shared" si="6"/>
        <v>432</v>
      </c>
      <c r="F12" s="135"/>
      <c r="G12" s="136">
        <v>504</v>
      </c>
      <c r="H12" s="136">
        <v>720</v>
      </c>
      <c r="I12" s="135"/>
      <c r="J12" s="135">
        <f t="shared" si="7"/>
        <v>216</v>
      </c>
      <c r="K12" s="135"/>
      <c r="L12" s="136">
        <v>1008</v>
      </c>
      <c r="M12" s="136">
        <v>1440</v>
      </c>
      <c r="N12" s="135"/>
      <c r="O12" s="135">
        <f t="shared" si="8"/>
        <v>432</v>
      </c>
    </row>
    <row r="13" spans="1:16" x14ac:dyDescent="0.25">
      <c r="A13" s="134">
        <v>43800</v>
      </c>
      <c r="B13" s="136">
        <v>1008</v>
      </c>
      <c r="C13" s="136">
        <v>1488</v>
      </c>
      <c r="D13" s="135"/>
      <c r="E13" s="135">
        <f t="shared" si="6"/>
        <v>480</v>
      </c>
      <c r="F13" s="135"/>
      <c r="G13" s="136">
        <v>504</v>
      </c>
      <c r="H13" s="136">
        <v>744</v>
      </c>
      <c r="I13" s="135"/>
      <c r="J13" s="135">
        <f t="shared" si="7"/>
        <v>240</v>
      </c>
      <c r="K13" s="135"/>
      <c r="L13" s="136">
        <v>1008</v>
      </c>
      <c r="M13" s="136">
        <v>1488</v>
      </c>
      <c r="N13" s="135"/>
      <c r="O13" s="135">
        <f t="shared" si="8"/>
        <v>480</v>
      </c>
    </row>
    <row r="15" spans="1:16" x14ac:dyDescent="0.25">
      <c r="A15" t="s">
        <v>182</v>
      </c>
      <c r="C15" s="136">
        <v>1460</v>
      </c>
      <c r="F15" s="137">
        <f>AVERAGE(F2:F9)</f>
        <v>0.84502609956609809</v>
      </c>
      <c r="H15" s="136">
        <v>730</v>
      </c>
      <c r="K15" s="137">
        <f>AVERAGE(K2:K9)</f>
        <v>0.5617793771527555</v>
      </c>
      <c r="M15" s="136">
        <v>1460</v>
      </c>
      <c r="P15" s="137">
        <f>AVERAGE(P2:P9)</f>
        <v>0.74632658623259485</v>
      </c>
    </row>
    <row r="19" spans="1:3" x14ac:dyDescent="0.25">
      <c r="A19">
        <v>1</v>
      </c>
      <c r="B19">
        <v>182000</v>
      </c>
    </row>
    <row r="20" spans="1:3" x14ac:dyDescent="0.25">
      <c r="A20">
        <v>2</v>
      </c>
      <c r="B20">
        <v>264000</v>
      </c>
      <c r="C20">
        <f>AVERAGE(B19:B20)</f>
        <v>223000</v>
      </c>
    </row>
    <row r="21" spans="1:3" x14ac:dyDescent="0.25">
      <c r="A21">
        <v>3</v>
      </c>
      <c r="B21">
        <v>86000</v>
      </c>
      <c r="C21">
        <f t="shared" ref="C21:C30" si="9">AVERAGE(B20:B21)</f>
        <v>175000</v>
      </c>
    </row>
    <row r="22" spans="1:3" x14ac:dyDescent="0.25">
      <c r="A22">
        <v>4</v>
      </c>
      <c r="B22">
        <v>58000</v>
      </c>
      <c r="C22">
        <f t="shared" si="9"/>
        <v>72000</v>
      </c>
    </row>
    <row r="23" spans="1:3" x14ac:dyDescent="0.25">
      <c r="A23">
        <v>5</v>
      </c>
      <c r="B23">
        <v>74000</v>
      </c>
      <c r="C23">
        <f t="shared" si="9"/>
        <v>66000</v>
      </c>
    </row>
    <row r="24" spans="1:3" x14ac:dyDescent="0.25">
      <c r="A24">
        <v>6</v>
      </c>
      <c r="B24">
        <v>62000</v>
      </c>
      <c r="C24">
        <f t="shared" si="9"/>
        <v>68000</v>
      </c>
    </row>
    <row r="25" spans="1:3" x14ac:dyDescent="0.25">
      <c r="A25">
        <v>7</v>
      </c>
      <c r="B25">
        <v>32000</v>
      </c>
      <c r="C25">
        <f t="shared" si="9"/>
        <v>47000</v>
      </c>
    </row>
    <row r="26" spans="1:3" x14ac:dyDescent="0.25">
      <c r="A26">
        <v>8</v>
      </c>
      <c r="C26">
        <f t="shared" si="9"/>
        <v>32000</v>
      </c>
    </row>
    <row r="27" spans="1:3" x14ac:dyDescent="0.25">
      <c r="A27">
        <v>9</v>
      </c>
      <c r="C27" t="e">
        <f t="shared" si="9"/>
        <v>#DIV/0!</v>
      </c>
    </row>
    <row r="28" spans="1:3" x14ac:dyDescent="0.25">
      <c r="A28">
        <v>10</v>
      </c>
      <c r="C28" t="e">
        <f t="shared" si="9"/>
        <v>#DIV/0!</v>
      </c>
    </row>
    <row r="29" spans="1:3" x14ac:dyDescent="0.25">
      <c r="A29">
        <v>11</v>
      </c>
      <c r="C29" t="e">
        <f t="shared" si="9"/>
        <v>#DIV/0!</v>
      </c>
    </row>
    <row r="30" spans="1:3" x14ac:dyDescent="0.25">
      <c r="A30">
        <v>12</v>
      </c>
      <c r="C30" t="e">
        <f t="shared" si="9"/>
        <v>#DIV/0!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Data</vt:lpstr>
      <vt:lpstr>SAS01</vt:lpstr>
      <vt:lpstr>Production info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2021-10-12T06:51:26Z</dcterms:modified>
</cp:coreProperties>
</file>